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ashboard" sheetId="1" r:id="rId4"/>
    <sheet state="hidden" name="Chart Mix" sheetId="2" r:id="rId5"/>
    <sheet state="hidden" name="Data" sheetId="3" r:id="rId6"/>
    <sheet state="hidden" name="qboIS" sheetId="4" r:id="rId7"/>
    <sheet state="visible" name="YTD Income Statement" sheetId="5" r:id="rId8"/>
    <sheet state="visible" name="Current Month Income Statement" sheetId="6" r:id="rId9"/>
    <sheet state="visible" name="YTD Balance Sheet" sheetId="7" r:id="rId10"/>
    <sheet state="visible" name="YTD Cash Flows" sheetId="8" r:id="rId11"/>
    <sheet state="hidden" name="Copy of YTD Cash Flows" sheetId="9" r:id="rId12"/>
    <sheet state="hidden" name="Daily CF" sheetId="10" r:id="rId13"/>
    <sheet state="hidden" name="Receipt Register" sheetId="11" r:id="rId14"/>
    <sheet state="visible" name="WADA" sheetId="12" r:id="rId15"/>
    <sheet state="visible" name="Bank Register" sheetId="13" r:id="rId16"/>
    <sheet state="hidden" name="January Income Statement" sheetId="14" r:id="rId17"/>
    <sheet state="hidden" name="DataSettings" sheetId="15" r:id="rId18"/>
    <sheet state="hidden" name="FY22 Budget" sheetId="16" r:id="rId19"/>
    <sheet state="hidden" name="FY22 Budget Update" sheetId="17" r:id="rId20"/>
    <sheet state="hidden" name="Revenue Projections" sheetId="18" r:id="rId21"/>
    <sheet state="hidden" name="First Bank" sheetId="19" r:id="rId22"/>
    <sheet state="hidden" name="Brex" sheetId="20" r:id="rId23"/>
    <sheet state="visible" name="Expensify" sheetId="21" r:id="rId24"/>
    <sheet state="visible" name="Bill" sheetId="22" r:id="rId25"/>
    <sheet state="visible" name="Outstanding Invoices" sheetId="23" r:id="rId26"/>
  </sheets>
  <definedNames>
    <definedName hidden="1" localSheetId="2" name="_xlnm._FilterDatabase">Data!$A$1:$Q$172</definedName>
    <definedName hidden="1" localSheetId="15" name="_xlnm._FilterDatabase">'FY22 Budget'!$A$1:$AC$85</definedName>
    <definedName hidden="1" localSheetId="16" name="_xlnm._FilterDatabase">'FY22 Budget Update'!$A$1:$AC$912</definedName>
    <definedName hidden="1" localSheetId="21" name="_xlnm._FilterDatabase">Bill!$A$1:$W$71</definedName>
  </definedNames>
  <calcPr/>
  <pivotCaches>
    <pivotCache cacheId="0" r:id="rId27"/>
    <pivotCache cacheId="1" r:id="rId28"/>
  </pivotCache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91">
      <text>
        <t xml:space="preserve">May want to move to 2542-6411</t>
      </text>
    </comment>
    <comment authorId="0" ref="D97">
      <text>
        <t xml:space="preserve">May want to move classroom furniture to instructional functions 1131 and/or 1151</t>
      </text>
    </comment>
    <comment authorId="0" ref="B104">
      <text>
        <t xml:space="preserve">Includes $26,344.60  paid to GHA Technologies for Dell computers would more typically be coded to 1131-6412 Tech supplies.</t>
      </text>
    </comment>
    <comment authorId="0" ref="B107">
      <text>
        <t xml:space="preserve">Includes:
50,750 Lavinia Group</t>
      </text>
    </comment>
    <comment authorId="0" ref="B113">
      <text>
        <t xml:space="preserve">Includes $26,344.60  paid to GHA Technologies for Dell computers would more typically be coded to 1151-6412 Tech supplies.</t>
      </text>
    </comment>
    <comment authorId="0" ref="B153">
      <text>
        <t xml:space="preserve">Includes:
32,500 Simmons Lettre Consult
20,000 Mango Strategies
14,501 Think Forward
</t>
      </text>
    </comment>
    <comment authorId="0" ref="B166">
      <text>
        <t xml:space="preserve">Includes:
$13,094.49 GadellNet refund for over-payment during FY23</t>
      </text>
    </comment>
    <comment authorId="0" ref="B179">
      <text>
        <t xml:space="preserve">2571 = Internal Services Area Dir - admin of activities concerned with buying, storing, and distributing supplies, furniture, &amp; equip (Purchasing &amp; Warehouse depts), and with duplicating &amp; printing for the school.
May want to move to 2542-6333</t>
      </text>
    </comment>
    <comment authorId="0" ref="B180">
      <text>
        <t xml:space="preserve">May want to move to 2642:
Expenses incuded on this line are emp onboarding, Facebook marketing, staff/student recruitment platform, Mailchimp email marketing
May want to move to 2542-6333:
One other expense incuded on this line is CIC facility rental</t>
      </text>
    </comment>
    <comment authorId="0" ref="B181">
      <text>
        <t xml:space="preserve">May want to move to 2542-6411:
Expenses included on this line include sanitizer, building panting &amp; patching supplies, wet vac, facilities supplies
May want to move to community services or student activities:
Expenses on this line include Back to School Night supplies
Also included - $2,611.98 Everett - supplies</t>
      </text>
    </comment>
    <comment authorId="0" ref="B188">
      <text>
        <t xml:space="preserve">Includes:
$1,373.50 Durham refund for MS field trip scheduled FY23</t>
      </text>
    </comment>
  </commentList>
</comments>
</file>

<file path=xl/sharedStrings.xml><?xml version="1.0" encoding="utf-8"?>
<sst xmlns="http://schemas.openxmlformats.org/spreadsheetml/2006/main" count="5573" uniqueCount="1672">
  <si>
    <t>Stream</t>
  </si>
  <si>
    <t>Category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</si>
  <si>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</si>
  <si>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</si>
  <si>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</si>
  <si>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</si>
  <si>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</si>
  <si>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</si>
  <si>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</si>
  <si>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</si>
  <si>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</si>
  <si>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</si>
  <si>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</si>
  <si>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</si>
  <si>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Budget</t>
  </si>
  <si>
    <t>4 Federal Revenue</t>
  </si>
  <si>
    <t>3 State Revenue</t>
  </si>
  <si>
    <t>1 Local Revenue</t>
  </si>
  <si>
    <t>Actual</t>
  </si>
  <si>
    <t>Forecast</t>
  </si>
  <si>
    <t>Value</t>
  </si>
  <si>
    <r>
      <rPr>
        <rFont val="Montserrat"/>
        <b/>
        <color theme="1"/>
      </rPr>
      <t xml:space="preserve">vs. </t>
    </r>
    <r>
      <rPr>
        <rFont val="Montserrat"/>
        <b/>
        <color rgb="FF259AD6"/>
      </rPr>
      <t xml:space="preserve">Forecast </t>
    </r>
    <r>
      <rPr>
        <rFont val="Montserrat"/>
        <b/>
        <color theme="1"/>
      </rPr>
      <t xml:space="preserve">and </t>
    </r>
    <r>
      <rPr>
        <rFont val="Montserrat"/>
        <b/>
        <color rgb="FF34A853"/>
      </rPr>
      <t>Budget</t>
    </r>
  </si>
  <si>
    <r>
      <rPr>
        <rFont val="Montserrat"/>
        <b/>
        <color theme="1"/>
      </rPr>
      <t xml:space="preserve">% of </t>
    </r>
    <r>
      <rPr>
        <rFont val="Montserrat"/>
        <b/>
        <color rgb="FF259AD6"/>
      </rPr>
      <t xml:space="preserve">Forecast </t>
    </r>
    <r>
      <rPr>
        <rFont val="Montserrat"/>
        <b/>
        <color theme="1"/>
      </rPr>
      <t>(</t>
    </r>
    <r>
      <rPr>
        <rFont val="Montserrat"/>
        <b/>
        <color rgb="FF34A853"/>
      </rPr>
      <t>Budget</t>
    </r>
    <r>
      <rPr>
        <rFont val="Montserrat"/>
        <b/>
        <color theme="1"/>
      </rPr>
      <t>)</t>
    </r>
  </si>
  <si>
    <t>1 Salaries</t>
  </si>
  <si>
    <t>2 Benefits and Taxes</t>
  </si>
  <si>
    <t>3 Staff Related</t>
  </si>
  <si>
    <t>4 Rent</t>
  </si>
  <si>
    <t>5 Occupancy Service</t>
  </si>
  <si>
    <t>6 Student Expense, Direct</t>
  </si>
  <si>
    <t>7 Student Expense, Indirect</t>
  </si>
  <si>
    <t>8 Office and Business</t>
  </si>
  <si>
    <t>9 Transportation</t>
  </si>
  <si>
    <r>
      <rPr>
        <rFont val="Montserrat"/>
        <b/>
        <color theme="1"/>
      </rPr>
      <t xml:space="preserve">vs. </t>
    </r>
    <r>
      <rPr>
        <rFont val="Montserrat"/>
        <b/>
        <color theme="4"/>
      </rPr>
      <t>Forecast</t>
    </r>
    <r>
      <rPr>
        <rFont val="Montserrat"/>
        <b/>
        <color theme="1"/>
      </rPr>
      <t xml:space="preserve"> and </t>
    </r>
    <r>
      <rPr>
        <rFont val="Montserrat"/>
        <b/>
        <color theme="7"/>
      </rPr>
      <t>Budget</t>
    </r>
  </si>
  <si>
    <r>
      <rPr>
        <rFont val="Montserrat"/>
        <b/>
        <color theme="1"/>
      </rPr>
      <t xml:space="preserve">% of </t>
    </r>
    <r>
      <rPr>
        <rFont val="Montserrat"/>
        <b/>
        <color theme="4"/>
      </rPr>
      <t>Forecast</t>
    </r>
    <r>
      <rPr>
        <rFont val="Montserrat"/>
        <b/>
        <color theme="1"/>
      </rPr>
      <t xml:space="preserve"> (</t>
    </r>
    <r>
      <rPr>
        <rFont val="Montserrat"/>
        <b/>
        <color theme="7"/>
      </rPr>
      <t>Budget</t>
    </r>
    <r>
      <rPr>
        <rFont val="Montserrat"/>
        <b/>
        <color theme="1"/>
      </rPr>
      <t>)</t>
    </r>
  </si>
  <si>
    <t>Type</t>
  </si>
  <si>
    <t>Expenses</t>
  </si>
  <si>
    <t>Revenues</t>
  </si>
  <si>
    <t>Budget Total</t>
  </si>
  <si>
    <t>Actual Total</t>
  </si>
  <si>
    <t>Cash</t>
  </si>
  <si>
    <t>Beginning</t>
  </si>
  <si>
    <t>Projected</t>
  </si>
  <si>
    <t>Budget Per Day</t>
  </si>
  <si>
    <t>Cash Balance</t>
  </si>
  <si>
    <t>Days of Cash</t>
  </si>
  <si>
    <t>Code</t>
  </si>
  <si>
    <t xml:space="preserve"> </t>
  </si>
  <si>
    <t>0000-5113</t>
  </si>
  <si>
    <t>0000-5151</t>
  </si>
  <si>
    <t>0000-5171</t>
  </si>
  <si>
    <t>0000-5192</t>
  </si>
  <si>
    <t>0000-5198</t>
  </si>
  <si>
    <t>0000-5311</t>
  </si>
  <si>
    <t>0000-5319</t>
  </si>
  <si>
    <t>0000-5412</t>
  </si>
  <si>
    <t>0000-5424</t>
  </si>
  <si>
    <t>0000-5441</t>
  </si>
  <si>
    <t>0000-5445</t>
  </si>
  <si>
    <t>0000-5446</t>
  </si>
  <si>
    <t>0000-5451</t>
  </si>
  <si>
    <t>0000-5461</t>
  </si>
  <si>
    <t>0000-5465</t>
  </si>
  <si>
    <t>0000-5497</t>
  </si>
  <si>
    <t>1131-6111</t>
  </si>
  <si>
    <t>1131-6211</t>
  </si>
  <si>
    <t>1131-6231</t>
  </si>
  <si>
    <t>1131-6232</t>
  </si>
  <si>
    <t>1131-6241</t>
  </si>
  <si>
    <t>1131-6319</t>
  </si>
  <si>
    <t>1131-6411</t>
  </si>
  <si>
    <t>1131-6412</t>
  </si>
  <si>
    <t>1131-6431</t>
  </si>
  <si>
    <t>1221-6151</t>
  </si>
  <si>
    <t>1221-6211</t>
  </si>
  <si>
    <t>1221-6231</t>
  </si>
  <si>
    <t>1221-6232</t>
  </si>
  <si>
    <t>1221-6241</t>
  </si>
  <si>
    <t>1221-6319</t>
  </si>
  <si>
    <t>1411-6131</t>
  </si>
  <si>
    <t>1411-6231</t>
  </si>
  <si>
    <t>1411-6232</t>
  </si>
  <si>
    <t>1411-6319</t>
  </si>
  <si>
    <t>1411-6411</t>
  </si>
  <si>
    <t>2134-6411</t>
  </si>
  <si>
    <t>2142-6319</t>
  </si>
  <si>
    <t>2152-6319</t>
  </si>
  <si>
    <t>2162-6319</t>
  </si>
  <si>
    <t>2191-6319</t>
  </si>
  <si>
    <t>2211-6319</t>
  </si>
  <si>
    <t>2213-6319</t>
  </si>
  <si>
    <t>2213-6343</t>
  </si>
  <si>
    <t>2311-6315</t>
  </si>
  <si>
    <t>2311-6317</t>
  </si>
  <si>
    <t>2311-6352</t>
  </si>
  <si>
    <t>2321-6271</t>
  </si>
  <si>
    <t>2321-6319</t>
  </si>
  <si>
    <t>2321-6371</t>
  </si>
  <si>
    <t>2321-6411</t>
  </si>
  <si>
    <t>2323-6411</t>
  </si>
  <si>
    <t>2331-6316</t>
  </si>
  <si>
    <t>2331-6338</t>
  </si>
  <si>
    <t>2331-6361</t>
  </si>
  <si>
    <t>2331-6412</t>
  </si>
  <si>
    <t>2511-6319</t>
  </si>
  <si>
    <t>2511-6411</t>
  </si>
  <si>
    <t>2542-6332</t>
  </si>
  <si>
    <t>2542-6333</t>
  </si>
  <si>
    <t>2542-6411</t>
  </si>
  <si>
    <t>2546-6319</t>
  </si>
  <si>
    <t>2546-6412</t>
  </si>
  <si>
    <t>2551-6341</t>
  </si>
  <si>
    <t>2551-6342</t>
  </si>
  <si>
    <t>2562-6319</t>
  </si>
  <si>
    <t>2562-6411</t>
  </si>
  <si>
    <t>2563-6319</t>
  </si>
  <si>
    <t>2563-6391</t>
  </si>
  <si>
    <t>2911-6319</t>
  </si>
  <si>
    <t>0000-5141</t>
  </si>
  <si>
    <t>0000-5161</t>
  </si>
  <si>
    <t>0000-5172</t>
  </si>
  <si>
    <t>0000-5471</t>
  </si>
  <si>
    <t>0000-5841</t>
  </si>
  <si>
    <t>2323-6319</t>
  </si>
  <si>
    <t>2542-6319</t>
  </si>
  <si>
    <t>1131-6337</t>
  </si>
  <si>
    <t>1221-6411</t>
  </si>
  <si>
    <t>2321-6343</t>
  </si>
  <si>
    <t>2321-6391</t>
  </si>
  <si>
    <t>2321-6412</t>
  </si>
  <si>
    <t>2331-6319</t>
  </si>
  <si>
    <t>2551-6319</t>
  </si>
  <si>
    <t>0000-5179</t>
  </si>
  <si>
    <t>1913-6319</t>
  </si>
  <si>
    <t>PayPal Fe</t>
  </si>
  <si>
    <t>Kairos Academies</t>
  </si>
  <si>
    <t>Statement of Activity</t>
  </si>
  <si>
    <t>July 2021 - March 2022</t>
  </si>
  <si>
    <t>Total</t>
  </si>
  <si>
    <t>Revenue</t>
  </si>
  <si>
    <t>0000-5100 Revenues from Local Sources</t>
  </si>
  <si>
    <t>0000-5113 School District Trust Fund (Proposition C)</t>
  </si>
  <si>
    <t>0000-5141 Interest</t>
  </si>
  <si>
    <t>0000-5151 Food Sales to Pupils</t>
  </si>
  <si>
    <t>0000-5161 Food Sales to Adults</t>
  </si>
  <si>
    <t>0000-5171 Student Activities Student Fees</t>
  </si>
  <si>
    <t>0000-5172 Bookstore Sales</t>
  </si>
  <si>
    <t>0000-5179 Other Student Activity Income</t>
  </si>
  <si>
    <t>0000-5192 Gifts</t>
  </si>
  <si>
    <t>0000-5198 Miscellaneous Revenues</t>
  </si>
  <si>
    <t>0000-5199 Fund Transfers In</t>
  </si>
  <si>
    <t>Total 0000-5100 Revenues from Local Sources</t>
  </si>
  <si>
    <t>0000-5300 Revenues from State Sources</t>
  </si>
  <si>
    <t>0000-5311 Basic Formula - State Monies</t>
  </si>
  <si>
    <t>0000-5319 Basic Formula - Classroom Trust Fund</t>
  </si>
  <si>
    <t>Total 0000-5300 Revenues from State Sources</t>
  </si>
  <si>
    <t>0000-5400 Revenues from Federal Sources</t>
  </si>
  <si>
    <t>0000-5412 Medicaid</t>
  </si>
  <si>
    <t>0000-5441 IDEA Entitlement Funds, Part B IDEA</t>
  </si>
  <si>
    <t>0000-5445 School Lunch Program</t>
  </si>
  <si>
    <t>0000-5446 School Breakfast Program</t>
  </si>
  <si>
    <t>0000-5451 Title I</t>
  </si>
  <si>
    <t>0000-5461 Title IV.A Student Support and Academic Enrichment</t>
  </si>
  <si>
    <t>0000-5465 Title II.A</t>
  </si>
  <si>
    <t>0000-5471 School Child Nutrition Program</t>
  </si>
  <si>
    <t>0000-5497 Other Federal Sources</t>
  </si>
  <si>
    <t>Total 0000-5400 Revenues from Federal Sources</t>
  </si>
  <si>
    <t>0000-5800 Amounts Received From Other LEAs</t>
  </si>
  <si>
    <t>0000-5841 Transportation Sharing, Non-Disabled</t>
  </si>
  <si>
    <t>Total 0000-5800 Amounts Received From Other LEAs</t>
  </si>
  <si>
    <t>Total Revenue</t>
  </si>
  <si>
    <t>Gross Profit</t>
  </si>
  <si>
    <t>Expenditures</t>
  </si>
  <si>
    <t>0000-6100 Salaries</t>
  </si>
  <si>
    <t>1131-6111 MS Instruction Cert FT</t>
  </si>
  <si>
    <t>1411-6131 Student Activities Supp Pay</t>
  </si>
  <si>
    <t>Total 0000-6100 Salaries</t>
  </si>
  <si>
    <t>0000-6200 Benefits and Taxes</t>
  </si>
  <si>
    <t>1131-6211 MS Instruction Cert PRS</t>
  </si>
  <si>
    <t>1131-6231 MS Instruction Social Security</t>
  </si>
  <si>
    <t>1131-6232 MS Instruction Medicare</t>
  </si>
  <si>
    <t>1131-6241 MS Instruction Employee Insurance</t>
  </si>
  <si>
    <t>Total 0000-6200 Benefits and Taxes</t>
  </si>
  <si>
    <t>0000-6399 Fund Transfers Out</t>
  </si>
  <si>
    <t>0000-6XXX-1 Staff-Related Costs</t>
  </si>
  <si>
    <t>2213-6319 Prof Dev (Instructional) Professional Services</t>
  </si>
  <si>
    <t>2213-6343 Prof Dev (Instructional) Travel</t>
  </si>
  <si>
    <t>2323-6319 Staff Relations Professional Services</t>
  </si>
  <si>
    <t>2323-6411 Staff Relations Supplies</t>
  </si>
  <si>
    <t>Total 0000-6XXX-1 Staff-Related Costs</t>
  </si>
  <si>
    <t>0000-6XXX-2 Rent</t>
  </si>
  <si>
    <t>2542-6333 Facilities Rent</t>
  </si>
  <si>
    <t>Total 0000-6XXX-2 Rent</t>
  </si>
  <si>
    <t>0000-6XXX-3 Occupancy Service</t>
  </si>
  <si>
    <t>2331-6361 IT Admin Communication</t>
  </si>
  <si>
    <t>2542-6319 Facilities Professional Services</t>
  </si>
  <si>
    <t>2542-6332 Facilities Repairs and Maintenance</t>
  </si>
  <si>
    <t>2542-6411 Facilities Supplies</t>
  </si>
  <si>
    <t>2546-6319 Security Professional Services</t>
  </si>
  <si>
    <t>2546-6412 Security Tech Supplies</t>
  </si>
  <si>
    <t>Total 0000-6XXX-3 Occupancy Service</t>
  </si>
  <si>
    <t>0000-6XXX-4 Student Expense, Direct</t>
  </si>
  <si>
    <t>1131-6319 MS Instruction Professional Services</t>
  </si>
  <si>
    <t>1131-6337 MS Instruction Tech Install, Repair, Maintenance</t>
  </si>
  <si>
    <t>1131-6411 MS Instruction Supplies</t>
  </si>
  <si>
    <t>1131-6412 MS Instruction Tech Supplies</t>
  </si>
  <si>
    <t>1131-6431 MS Instruction Textbooks</t>
  </si>
  <si>
    <t>1221-6319 Special Education Professional Services</t>
  </si>
  <si>
    <t>1221-6411 Special Education Supplies</t>
  </si>
  <si>
    <t>1411-6319 Student Activities Professional Services</t>
  </si>
  <si>
    <t>1411-6411 Student Activities Supplies</t>
  </si>
  <si>
    <t>1913-6319 Tuition to Other Districts</t>
  </si>
  <si>
    <t>2142-6319 Psychological Services Professional Services</t>
  </si>
  <si>
    <t>2152-6319 Speech Pathology Professional Services</t>
  </si>
  <si>
    <t>2162-6319 Occupational Therapy Professional Services</t>
  </si>
  <si>
    <t>2191-6319 Behavior Professional Services</t>
  </si>
  <si>
    <t>2211-6319 Inst Support Professional Services</t>
  </si>
  <si>
    <t>Total 0000-6XXX-4 Student Expense, Direct</t>
  </si>
  <si>
    <t>0000-6XXX-5 Student Expense, Indirect</t>
  </si>
  <si>
    <t>2134-6411 Nursing Supplies</t>
  </si>
  <si>
    <t>2562-6319 Food Preparation Professional Services</t>
  </si>
  <si>
    <t>2562-6411 Food Preparation Supplies</t>
  </si>
  <si>
    <t>2563-6319 Food Delivery Professional Services</t>
  </si>
  <si>
    <t>2563-6391 Food Delivery Contracted Food Service</t>
  </si>
  <si>
    <t>2911-6319 Building Operations Professional Services</t>
  </si>
  <si>
    <t>Total 0000-6XXX-5 Student Expense, Indirect</t>
  </si>
  <si>
    <t>0000-6XXX-6 Office and Business Expense</t>
  </si>
  <si>
    <t>2311-6315 Board Audit</t>
  </si>
  <si>
    <t>2311-6317 Board Legal</t>
  </si>
  <si>
    <t>2311-6352 Board Liability Insurance</t>
  </si>
  <si>
    <t>2321-6319 Exec Admin Professional Services</t>
  </si>
  <si>
    <t>2321-6343 Exec Admin Travel</t>
  </si>
  <si>
    <t>2321-6371 Exec Admin Dues and Memberships</t>
  </si>
  <si>
    <t>2321-6391 Exec Admin Platforms</t>
  </si>
  <si>
    <t>2321-6411 Exec Admin Supplies</t>
  </si>
  <si>
    <t>2321-6412 Exec Admin Tech Supplies</t>
  </si>
  <si>
    <t>2331-6316 IT Admin Data Processing</t>
  </si>
  <si>
    <t>2331-6319 IT Admin Professional Services</t>
  </si>
  <si>
    <t>2331-6338 IT Admin Tech Rental</t>
  </si>
  <si>
    <t>2331-6412 IT Admin Tech Supplies</t>
  </si>
  <si>
    <t>2511-6319 Business Office Professional Services</t>
  </si>
  <si>
    <t>Total 0000-6XXX-6 Office and Business Expense</t>
  </si>
  <si>
    <t>0000-6XXX-7 Transportation</t>
  </si>
  <si>
    <t>2551-6319 Contracted Pupil Transportation Professional Services</t>
  </si>
  <si>
    <t>2551-6341 Contracted Pupil Transportation To and From School</t>
  </si>
  <si>
    <t>Total 0000-6XXX-7 Transportation</t>
  </si>
  <si>
    <t>PayPal Fees</t>
  </si>
  <si>
    <t>Total Expenditures</t>
  </si>
  <si>
    <t>Net Operating Revenue</t>
  </si>
  <si>
    <t>Net Revenue</t>
  </si>
  <si>
    <t>Saturday, Feb 12, 2022 06:46:21 AM GMT-8 - Accrual Basis</t>
  </si>
  <si>
    <t>Year-to-Date Statement of Activity</t>
  </si>
  <si>
    <t>as of 8/31/23</t>
  </si>
  <si>
    <t>FY24 Budget</t>
  </si>
  <si>
    <t>Updated FY22 Budget and YTD Forecast</t>
  </si>
  <si>
    <t>Calendar Days YTD</t>
  </si>
  <si>
    <t>Budget Before</t>
  </si>
  <si>
    <t>10 General Fund</t>
  </si>
  <si>
    <t>20 Teachers Fund</t>
  </si>
  <si>
    <t>42 Capital Projects Fund</t>
  </si>
  <si>
    <t>YTD %</t>
  </si>
  <si>
    <t>FY22 Budget (Updated)</t>
  </si>
  <si>
    <t xml:space="preserve">   0000-5100 Revenues from Local Sources</t>
  </si>
  <si>
    <t xml:space="preserve">      0000-5113 School District Trust Fund (Proposition C)</t>
  </si>
  <si>
    <t xml:space="preserve">      0000-5141 Interest</t>
  </si>
  <si>
    <t xml:space="preserve">      0000-5151 Food Sales to Pupils</t>
  </si>
  <si>
    <t xml:space="preserve">      0000-5161 Food Sales to Adults</t>
  </si>
  <si>
    <t xml:space="preserve">      0000-5171 Student Activities Student Fees</t>
  </si>
  <si>
    <t xml:space="preserve">      0000-5172 Bookstore Sales</t>
  </si>
  <si>
    <t xml:space="preserve">      0000-5179 Other Student Activity Income</t>
  </si>
  <si>
    <t xml:space="preserve">      0000-5192 Gifts</t>
  </si>
  <si>
    <t xml:space="preserve">      0000-5198 Miscellaneous Revenues</t>
  </si>
  <si>
    <t xml:space="preserve">   Total 0000-5100 Revenues from Local Sources</t>
  </si>
  <si>
    <t xml:space="preserve">   0000-5300 Revenues from State Sources</t>
  </si>
  <si>
    <t xml:space="preserve">      0000-5311 Basic Formula - State Monies</t>
  </si>
  <si>
    <t xml:space="preserve">      0000-5319 Basic Formula - Classroom Trust Fund</t>
  </si>
  <si>
    <t xml:space="preserve">      0000-5384 School Safety Grant</t>
  </si>
  <si>
    <t xml:space="preserve">   Total 0000-5300 Revenues from State Sources</t>
  </si>
  <si>
    <t xml:space="preserve">   0000-5400 Revenues from Federal Sources</t>
  </si>
  <si>
    <t xml:space="preserve">      0000-5412 Medicaid</t>
  </si>
  <si>
    <t xml:space="preserve">      0000-5422  ESSER III Revenue </t>
  </si>
  <si>
    <t xml:space="preserve">      0000-5423 ESSER II Revenue</t>
  </si>
  <si>
    <t xml:space="preserve">      0000-5439 ARP- IDEA 611 Entitlement Funds</t>
  </si>
  <si>
    <t xml:space="preserve">      0000-5441 IDEA Entitlement Funds, Part B IDEA</t>
  </si>
  <si>
    <t xml:space="preserve">      0000-5445 School Lunch Program &amp; Lunch Supply Chain</t>
  </si>
  <si>
    <t xml:space="preserve">      0000-5446 School Breakfast Program</t>
  </si>
  <si>
    <t xml:space="preserve">      0000-5451 Title I</t>
  </si>
  <si>
    <t xml:space="preserve">      0000-5461 Title IV.A Student Support and Academic Enrichment</t>
  </si>
  <si>
    <t xml:space="preserve">      0000-5465 Title II.A</t>
  </si>
  <si>
    <t xml:space="preserve">      0000-5471 School Child Nutrition Program</t>
  </si>
  <si>
    <t xml:space="preserve">      0000-5497 Other Federal Sources</t>
  </si>
  <si>
    <t xml:space="preserve">   Total 0000-5400 Revenues from Federal Sources</t>
  </si>
  <si>
    <t xml:space="preserve">   0000-5800 Amounts Received From Other LEAs</t>
  </si>
  <si>
    <t xml:space="preserve">      0000-5841 Transportation Sharing, Non-Disabled</t>
  </si>
  <si>
    <t xml:space="preserve">   Total 0000-5800 Amounts Received From Other LEAs</t>
  </si>
  <si>
    <t xml:space="preserve">   0000-6100 Salaries</t>
  </si>
  <si>
    <t xml:space="preserve">      0000-6121 Substitutes</t>
  </si>
  <si>
    <t xml:space="preserve">      1131-6151/6111 MS Instruction FT</t>
  </si>
  <si>
    <t xml:space="preserve">      1151-6151/6111/6131  HS Instruction FT</t>
  </si>
  <si>
    <t xml:space="preserve">      1221-6152/6111 Special Education FT</t>
  </si>
  <si>
    <t xml:space="preserve">      1411-6111  Student Activities Salaries</t>
  </si>
  <si>
    <t xml:space="preserve">      1411-6131 Student Activities Supp Pay</t>
  </si>
  <si>
    <t xml:space="preserve">      2112-6151  Attendance/Registrar</t>
  </si>
  <si>
    <t xml:space="preserve">      2113-6111  Social Worker</t>
  </si>
  <si>
    <t xml:space="preserve">      2114-6151 Attendance/ Registrar</t>
  </si>
  <si>
    <t xml:space="preserve">      2122-6151/6111  Counseling - Restore. Justice</t>
  </si>
  <si>
    <t xml:space="preserve">      2125-6151 Record Maintenance Services</t>
  </si>
  <si>
    <t xml:space="preserve">      2134-6151  Nurse</t>
  </si>
  <si>
    <t xml:space="preserve">      2191-6151  Behavior Services</t>
  </si>
  <si>
    <t xml:space="preserve">      2211-6151 Improvement of Instruction</t>
  </si>
  <si>
    <t xml:space="preserve">      2222-6151  Library</t>
  </si>
  <si>
    <t xml:space="preserve">      2321-6151 Office of Superintendent - noncert</t>
  </si>
  <si>
    <t xml:space="preserve">      2322-6151 Community Relations</t>
  </si>
  <si>
    <t xml:space="preserve">      2329-6151 Other Exec Admin Services</t>
  </si>
  <si>
    <t xml:space="preserve">      2331-6151 Support Services - Tech</t>
  </si>
  <si>
    <t xml:space="preserve">      2411-6151/6112/6131  Other Student Support (School Leaders)</t>
  </si>
  <si>
    <t xml:space="preserve">      2511-6151 Business Office</t>
  </si>
  <si>
    <t xml:space="preserve">      2521-6151 Fiscal Services</t>
  </si>
  <si>
    <t xml:space="preserve">      2541-6151 Op &amp; Maint of Plant Services Admin</t>
  </si>
  <si>
    <t xml:space="preserve">      2911-6151 Support Services - noncert</t>
  </si>
  <si>
    <t xml:space="preserve">      3111-6151  Community Services -Talent Director</t>
  </si>
  <si>
    <t xml:space="preserve">      3911-6111  Other Community Services - Instruction</t>
  </si>
  <si>
    <t xml:space="preserve">   Total 0000-6100 Salaries</t>
  </si>
  <si>
    <t xml:space="preserve">   0000-6200 Benefits and Taxes</t>
  </si>
  <si>
    <t xml:space="preserve">       6211/6211 Retirement</t>
  </si>
  <si>
    <t xml:space="preserve">       6231  Social Security</t>
  </si>
  <si>
    <t xml:space="preserve">       6232 Medicare</t>
  </si>
  <si>
    <t xml:space="preserve">      6241 Employee Insurance/Workers comp/Other Emp Benefits</t>
  </si>
  <si>
    <t xml:space="preserve">   Total 0000-6200 Benefits and Taxes</t>
  </si>
  <si>
    <t xml:space="preserve">   0000-6XXX-1 Staff-Related Costs</t>
  </si>
  <si>
    <t xml:space="preserve">      2213-6319 Prof Dev (Instructional) Professional Services</t>
  </si>
  <si>
    <t xml:space="preserve">      2213-6343 Prof Dev (Instructional) Travel</t>
  </si>
  <si>
    <t xml:space="preserve">      2213-6411  Prof Dev Supplies</t>
  </si>
  <si>
    <t xml:space="preserve">      2323-6319 Staff Relations Professional Services</t>
  </si>
  <si>
    <t xml:space="preserve">      2323-6411 Staff Relations Supplies</t>
  </si>
  <si>
    <t xml:space="preserve">      2642-6411 Staff Recruitment Supplies</t>
  </si>
  <si>
    <t xml:space="preserve">      2644-6319 Prof Dev (Non-Instructional) Professional Services</t>
  </si>
  <si>
    <t xml:space="preserve">      2644-6411 Prof Dev (Non-Instructional) Supplies</t>
  </si>
  <si>
    <t xml:space="preserve">   Total 0000-6XXX-1 Staff-Related Costs</t>
  </si>
  <si>
    <t xml:space="preserve">   0000-6XXX-2 Rent</t>
  </si>
  <si>
    <t xml:space="preserve">      2542-6333 Facilities Rent</t>
  </si>
  <si>
    <t xml:space="preserve">   Total 0000-6XXX-2 Rent</t>
  </si>
  <si>
    <t xml:space="preserve">      2541-6411 Operation of Plant Admin Supplies</t>
  </si>
  <si>
    <t xml:space="preserve">      2542-6319 Facilities Professional Services</t>
  </si>
  <si>
    <t xml:space="preserve">      2542-6331 Facilities Cleaning Services</t>
  </si>
  <si>
    <t xml:space="preserve">      2542-6332 Facilities Repairs and Maintenance</t>
  </si>
  <si>
    <t xml:space="preserve">      2542-6361 Facilities Phone/Internet</t>
  </si>
  <si>
    <t xml:space="preserve">      2542-6411 Facilities Supplies</t>
  </si>
  <si>
    <t xml:space="preserve">      2542-654X  Facilities Capital Equipment/Furniture</t>
  </si>
  <si>
    <t xml:space="preserve">      2546-6319 Security Professional Services</t>
  </si>
  <si>
    <t xml:space="preserve">      2546-6412 Security Tech Supplies</t>
  </si>
  <si>
    <t xml:space="preserve">      2546-654X Security Capital Equipment</t>
  </si>
  <si>
    <t xml:space="preserve">      40X1-65X1 Facilities Capital Projects</t>
  </si>
  <si>
    <t xml:space="preserve">   Total 0000-6XXX-3 Occupancy Service</t>
  </si>
  <si>
    <t xml:space="preserve">   0000-6XXX-4 Student Expense, Direct</t>
  </si>
  <si>
    <t xml:space="preserve">      1131-6316/6319 MS Instruction Professional Services</t>
  </si>
  <si>
    <t xml:space="preserve">      1131-6343 MS Instruction Travel</t>
  </si>
  <si>
    <t xml:space="preserve">      1131-6337 MS Instruction Tech Install, Repair, Maintenance</t>
  </si>
  <si>
    <t xml:space="preserve">      1131-6391 MS Other Professional Serv</t>
  </si>
  <si>
    <t xml:space="preserve">      1131-6411 MS Instruction Supplies</t>
  </si>
  <si>
    <t xml:space="preserve">      1131-6412 MS Instruction Tech Supplies</t>
  </si>
  <si>
    <t xml:space="preserve">      1131-6431 MS Instruction Textbooks</t>
  </si>
  <si>
    <t xml:space="preserve">     1131-6441  MS Library Books - IAL</t>
  </si>
  <si>
    <t xml:space="preserve">      1151-6337 HS Instruction Tech Install, Repair, Maintenance</t>
  </si>
  <si>
    <t xml:space="preserve">     1151-6316/6319  HS Instruction Professional Services</t>
  </si>
  <si>
    <t xml:space="preserve">      1151-6391 HS Other Professional Serv</t>
  </si>
  <si>
    <t xml:space="preserve">      1151-6411 HS Instruction Supplies</t>
  </si>
  <si>
    <t xml:space="preserve">      1151-6412 HS Instruction Tech Supplies</t>
  </si>
  <si>
    <t xml:space="preserve">      1151-6431 HS Instruction Textbooks</t>
  </si>
  <si>
    <t xml:space="preserve">      1151-6541 HS Classroom Furniture</t>
  </si>
  <si>
    <t xml:space="preserve">      1221-6311 Special Education Purchased Instructional Serv.</t>
  </si>
  <si>
    <t xml:space="preserve">      1221-6319 Special Education Professional Services</t>
  </si>
  <si>
    <t xml:space="preserve">      1221-6411 Special Education Supplies</t>
  </si>
  <si>
    <t xml:space="preserve">      1411/1421-6319/6391 Student Activities/Athletics Prof. Serv.</t>
  </si>
  <si>
    <t xml:space="preserve">      1411/1421-6343 Student Activities/Athletics Travel</t>
  </si>
  <si>
    <t xml:space="preserve">      1411/1421-6411 Student Activities/Athletics Supplies</t>
  </si>
  <si>
    <t xml:space="preserve">      1913-6319 Tuition to Other Districts</t>
  </si>
  <si>
    <t xml:space="preserve">      2142-6319 Psychological Services Professional Services</t>
  </si>
  <si>
    <t xml:space="preserve">      2152-6319 Speech Pathology Professional Services</t>
  </si>
  <si>
    <t xml:space="preserve">      2162-6319 Occupational Therapy Professional Services</t>
  </si>
  <si>
    <t xml:space="preserve">      2191-6319 Behavior Professional Services</t>
  </si>
  <si>
    <t xml:space="preserve">      2211-6343 Inst Support Travel</t>
  </si>
  <si>
    <t xml:space="preserve">      2211-6411 Inst Support Supplies</t>
  </si>
  <si>
    <t xml:space="preserve">      2222-6541 Library Furniture - IAL</t>
  </si>
  <si>
    <t xml:space="preserve">      3812-6319  Afterschool Care</t>
  </si>
  <si>
    <t xml:space="preserve">   Total 0000-6XXX-4 Student Expense, Direct</t>
  </si>
  <si>
    <t xml:space="preserve">   0000-6XXX-5 Student Expense, Indirect</t>
  </si>
  <si>
    <t xml:space="preserve">     2114-6319  Pupil Accounting</t>
  </si>
  <si>
    <t xml:space="preserve">      2134-6411 Nursing Supplies</t>
  </si>
  <si>
    <t xml:space="preserve">      2411-6319 Office of the Principal Professional Services</t>
  </si>
  <si>
    <t xml:space="preserve">      2411-6411/6412  Office of Princ Supplies</t>
  </si>
  <si>
    <t xml:space="preserve">      2562-6319 Food Preparation Professional Services</t>
  </si>
  <si>
    <t xml:space="preserve">      2562-6471 Food Supplies/Contracted Food Service</t>
  </si>
  <si>
    <t xml:space="preserve">      2562-6411/6541 Food Preparation Equipment</t>
  </si>
  <si>
    <t xml:space="preserve">      2563-6391 Food Delivery Contracted Food Service</t>
  </si>
  <si>
    <t xml:space="preserve">      2911-6319 Building Operations Professional Services</t>
  </si>
  <si>
    <t xml:space="preserve">      3912-6319  Parent Involve - Purch services</t>
  </si>
  <si>
    <t xml:space="preserve">   Total 0000-6XXX-5 Student Expense, Indirect</t>
  </si>
  <si>
    <t xml:space="preserve">   0000-6XXX-6 Office and Business Expense</t>
  </si>
  <si>
    <t xml:space="preserve">      2311-6315 Board Audit</t>
  </si>
  <si>
    <t xml:space="preserve">      2311-6317 Board Legal</t>
  </si>
  <si>
    <t xml:space="preserve">       Retirement Payback</t>
  </si>
  <si>
    <t xml:space="preserve">      2311-6352 Board Liability Insurance</t>
  </si>
  <si>
    <t xml:space="preserve">      2321-6271 Exec Admin Unemployment</t>
  </si>
  <si>
    <t xml:space="preserve">      2321-6319 Exec Admin Professional Services</t>
  </si>
  <si>
    <t xml:space="preserve">      2321-6343 Exec Admin Travel</t>
  </si>
  <si>
    <t xml:space="preserve">      2321-6361 Exec Admin Communications </t>
  </si>
  <si>
    <t xml:space="preserve">      2321-6371 Exec Admin Dues and Memberships</t>
  </si>
  <si>
    <t xml:space="preserve">      2321-6391 Exec Admin Other Purchased Services</t>
  </si>
  <si>
    <t xml:space="preserve">      2321-6411 Exec Admin Supplies</t>
  </si>
  <si>
    <t xml:space="preserve">      2321-6412 Exec Admin Tech Supplies</t>
  </si>
  <si>
    <r>
      <rPr>
        <rFont val="Arial"/>
        <b/>
        <color rgb="FF000000"/>
        <sz val="12.0"/>
      </rPr>
      <t xml:space="preserve">      2322-6319  </t>
    </r>
    <r>
      <rPr>
        <rFont val="Arial"/>
        <b/>
        <color rgb="FF000000"/>
        <sz val="12.0"/>
      </rPr>
      <t>Community Engage/Student Recruit Prof. Serv.</t>
    </r>
  </si>
  <si>
    <t xml:space="preserve">      2322-6411 Community Engage/Student Recruit Supplies</t>
  </si>
  <si>
    <t xml:space="preserve">      2329-6319 Other Exec Admin Professional Services</t>
  </si>
  <si>
    <t xml:space="preserve">      2329-6343 Other Exec Admin Travel</t>
  </si>
  <si>
    <t xml:space="preserve">      2329-6391 Other Exec Admin Platforms</t>
  </si>
  <si>
    <t xml:space="preserve">      2329-6411 Other Exec Admin Supplies</t>
  </si>
  <si>
    <t xml:space="preserve">      2331-6316 IT Admin Tech-Related Services</t>
  </si>
  <si>
    <t xml:space="preserve">      2331-6319 IT Admin Professional Services</t>
  </si>
  <si>
    <t xml:space="preserve">      2331-6338/6339 IT Admin Tech Rental</t>
  </si>
  <si>
    <t xml:space="preserve">      2331-6391 IT Admin Tech Platforms</t>
  </si>
  <si>
    <t xml:space="preserve">      2331-6412 IT Admin Tech Supplies</t>
  </si>
  <si>
    <t xml:space="preserve">      2511-6319/6391 Business Office Prof Serv/platforms</t>
  </si>
  <si>
    <t xml:space="preserve">      2511-6411 Business Office Supplies</t>
  </si>
  <si>
    <t xml:space="preserve">      2511-6544 Business Office Capital Tech Software</t>
  </si>
  <si>
    <t xml:space="preserve">      2521-6319 Fiscal Services Professional Services</t>
  </si>
  <si>
    <t xml:space="preserve">      2521-6343 Fiscal Services Travel</t>
  </si>
  <si>
    <t xml:space="preserve">      2521-6371 Fiscal Services Dues &amp; Memberships</t>
  </si>
  <si>
    <t xml:space="preserve">      2521-6391 Fiscal Services Tech Platforms</t>
  </si>
  <si>
    <t xml:space="preserve">      2521-6411 Fiscal Services Supplies</t>
  </si>
  <si>
    <t xml:space="preserve">      2571-6333 Internal Services Rent</t>
  </si>
  <si>
    <t xml:space="preserve">      2571-6391 Internal Services Tech Platforms</t>
  </si>
  <si>
    <t xml:space="preserve">      2571-6411 Internal Services Supplies</t>
  </si>
  <si>
    <t xml:space="preserve">      2574-6319 Printing, Publishing, Duplicating Services </t>
  </si>
  <si>
    <t xml:space="preserve">      2591-6398  Fundraising Purch Serv</t>
  </si>
  <si>
    <t xml:space="preserve">      3111-6411 Community Services -Talent Director - Supplies</t>
  </si>
  <si>
    <t xml:space="preserve">   Total 0000-6XXX-6 Office and Business Expense</t>
  </si>
  <si>
    <t xml:space="preserve">   0000-6XXX-7 Transportation</t>
  </si>
  <si>
    <t xml:space="preserve">      2551-6341 Contract Pupil Transportation To/From School</t>
  </si>
  <si>
    <t xml:space="preserve">      2551-6342 Contract Pupil Transport Non-Route (field trips)</t>
  </si>
  <si>
    <t xml:space="preserve">      2553-6341 Contr Pupil Transport-Disabled To/From School</t>
  </si>
  <si>
    <t xml:space="preserve">      3611-6341 Contracted Transport - Homeless</t>
  </si>
  <si>
    <t xml:space="preserve">   Total 0000-6XXX-7 Transportation</t>
  </si>
  <si>
    <t xml:space="preserve">   PayPal Fees</t>
  </si>
  <si>
    <t>For the Month of August 2023</t>
  </si>
  <si>
    <t xml:space="preserve">       6241 Employee Insurance/Workers comp/Other Emp Benefits</t>
  </si>
  <si>
    <r>
      <rPr>
        <rFont val="Arial"/>
        <b/>
        <color rgb="FF000000"/>
        <sz val="12.0"/>
      </rPr>
      <t xml:space="preserve">      2322-6319  </t>
    </r>
    <r>
      <rPr>
        <rFont val="Arial"/>
        <b/>
        <color rgb="FF000000"/>
        <sz val="12.0"/>
      </rPr>
      <t>Community Engage/Student Recruit Prof. Serv.</t>
    </r>
  </si>
  <si>
    <t>Statement of Financial Position</t>
  </si>
  <si>
    <t>As of August 31, 2023</t>
  </si>
  <si>
    <t>Not Specified</t>
  </si>
  <si>
    <t>Change in Balance</t>
  </si>
  <si>
    <t>ASSETS</t>
  </si>
  <si>
    <t xml:space="preserve">   Current Assets</t>
  </si>
  <si>
    <t xml:space="preserve">      Bank Accounts</t>
  </si>
  <si>
    <t xml:space="preserve">         0000-1113 Cash First Bank Operating</t>
  </si>
  <si>
    <t xml:space="preserve">         0000-1122 Bill.com Money In Clearing</t>
  </si>
  <si>
    <t xml:space="preserve">         0000-1132 Petty Cash</t>
  </si>
  <si>
    <t xml:space="preserve">         0000-1133 PayPal</t>
  </si>
  <si>
    <t xml:space="preserve">         0000-2113 Bill.com Money Out Clearing</t>
  </si>
  <si>
    <t xml:space="preserve">         Expensify Clearing Account</t>
  </si>
  <si>
    <t xml:space="preserve">      Total Bank Accounts</t>
  </si>
  <si>
    <t>change in cash</t>
  </si>
  <si>
    <t xml:space="preserve">      Accounts Receivable</t>
  </si>
  <si>
    <t xml:space="preserve">         0000-1200 Accounts Receivable (A/R)</t>
  </si>
  <si>
    <t xml:space="preserve">      Total Accounts Receivable</t>
  </si>
  <si>
    <t xml:space="preserve">      Other Current Assets</t>
  </si>
  <si>
    <t xml:space="preserve">         0000-1114 Undeposited Funds</t>
  </si>
  <si>
    <t xml:space="preserve">      Total Other Current Assets</t>
  </si>
  <si>
    <t xml:space="preserve">   Total Current Assets</t>
  </si>
  <si>
    <t xml:space="preserve">   Non-Current Assets</t>
  </si>
  <si>
    <t xml:space="preserve">      0000-1263 Security Deposits</t>
  </si>
  <si>
    <t xml:space="preserve">   Total Non-Current Assets</t>
  </si>
  <si>
    <t xml:space="preserve">   Fixed Assets</t>
  </si>
  <si>
    <t xml:space="preserve">      0000-1521 Facilities Buildings and Remodeling</t>
  </si>
  <si>
    <t xml:space="preserve">      0000-1541 Furniture</t>
  </si>
  <si>
    <t xml:space="preserve">      0000-1561 Tech Equipment</t>
  </si>
  <si>
    <t xml:space="preserve">      Less Accumulated Depreciation</t>
  </si>
  <si>
    <t xml:space="preserve">   Total Fixed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</si>
  <si>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</si>
  <si>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</si>
  <si>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</si>
  <si>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</si>
  <si>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</si>
  <si>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0000-2111 Accounts Payable - General</t>
  </si>
  <si>
    <t xml:space="preserve">         Total Accounts Payable</t>
  </si>
  <si>
    <t xml:space="preserve">         Credit Cards</t>
  </si>
  <si>
    <t xml:space="preserve">            Expensify Card Liability Account</t>
  </si>
  <si>
    <t xml:space="preserve">         Total Credit Cards</t>
  </si>
  <si>
    <t xml:space="preserve">         Other Current Liabilities</t>
  </si>
  <si>
    <t xml:space="preserve">            0000-2150 Payroll Deductions and Withholdings</t>
  </si>
  <si>
    <t xml:space="preserve">               Payroll Clearing</t>
  </si>
  <si>
    <r>
      <rPr>
        <rFont val="Arial"/>
        <b/>
        <sz val="8.0"/>
      </rPr>
      <t xml:space="preserve">               </t>
    </r>
    <r>
      <rPr>
        <rFont val="Arial"/>
        <b/>
        <color rgb="FF1155CC"/>
        <sz val="8.0"/>
        <u/>
      </rPr>
      <t>Bill.com</t>
    </r>
    <r>
      <rPr>
        <rFont val="Arial"/>
        <b/>
        <sz val="8.0"/>
      </rPr>
      <t xml:space="preserve"> Clearing</t>
    </r>
  </si>
  <si>
    <t xml:space="preserve">               0000-2156 Group Health and Life Insurance Payable</t>
  </si>
  <si>
    <t xml:space="preserve">               0000-2158 Teacher Retirement Payable</t>
  </si>
  <si>
    <t xml:space="preserve">            Total 0000-2150 Payroll Deductions and Withholdings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</si>
  <si>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</si>
  <si>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</si>
  <si>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</si>
  <si>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</si>
  <si>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Opening balance equity</t>
  </si>
  <si>
    <t xml:space="preserve">      Net Revenue</t>
  </si>
  <si>
    <t xml:space="preserve">   Total Equity</t>
  </si>
  <si>
    <t>TOTAL LIABILITIES AND EQUITY</t>
  </si>
  <si>
    <t>Statement of Cash Flows</t>
  </si>
  <si>
    <t>OPERATING ACTIVITIES</t>
  </si>
  <si>
    <t>Net Income/Loss</t>
  </si>
  <si>
    <t>(ties to YTD Income Statement)</t>
  </si>
  <si>
    <t>Adjustments to reconcile Net Revenue to Net Cash provided by operations:</t>
  </si>
  <si>
    <t>0000-1200 Accounts Receivable (A/R)</t>
  </si>
  <si>
    <t>0000-1263 Security Deposits</t>
  </si>
  <si>
    <t>0000-2111 Accounts Payable - General</t>
  </si>
  <si>
    <t xml:space="preserve"> Adjustment to beg. fund balance</t>
  </si>
  <si>
    <t>Expensify Card Liability Account</t>
  </si>
  <si>
    <t xml:space="preserve"> Payroll Clearing</t>
  </si>
  <si>
    <t>2156 Group Health and Life Insurance Payable</t>
  </si>
  <si>
    <t>2158 Teacher Retirement Payable</t>
  </si>
  <si>
    <t>Total Adjustments to reconcile Net Revenue to Net Cash provided by operations</t>
  </si>
  <si>
    <t>Net cash provided by operating activities</t>
  </si>
  <si>
    <t>INVESTING ACTIVITIES</t>
  </si>
  <si>
    <t>4051-1521 Facilities Buildings and Remodeling</t>
  </si>
  <si>
    <t>Net Income/Loss includes capital expense of</t>
  </si>
  <si>
    <t>Net cash provided by investing activities</t>
  </si>
  <si>
    <t>Net increase (decrease) in Cash</t>
  </si>
  <si>
    <t>Beginning Cash &amp; Cash Equivalents</t>
  </si>
  <si>
    <t>Cash at end of period</t>
  </si>
  <si>
    <t>BOOK/BANK DIFFERENCES:</t>
  </si>
  <si>
    <t xml:space="preserve">Prior month adjustment - Change in Deposit in Transit amount from MyPay </t>
  </si>
  <si>
    <t>TOTAL BOOK/BANK DIFFERENCES</t>
  </si>
  <si>
    <t>Corrected cash at end of period</t>
  </si>
  <si>
    <t>Bank Account</t>
  </si>
  <si>
    <t>First Bank</t>
  </si>
  <si>
    <t>Paypal</t>
  </si>
  <si>
    <t>Beginning cash balance</t>
  </si>
  <si>
    <t>Ending cash balance</t>
  </si>
  <si>
    <t>Change in cash</t>
  </si>
  <si>
    <t>Check and Receipt Registers</t>
  </si>
  <si>
    <t>Bank register - Debits</t>
  </si>
  <si>
    <t>Bank register - Credits</t>
  </si>
  <si>
    <t>Current Month change in cash</t>
  </si>
  <si>
    <t>July through Previous Month change in cash (applicable Aug - June)</t>
  </si>
  <si>
    <t>YTD change in cash</t>
  </si>
  <si>
    <r>
      <rPr>
        <rFont val="Arial"/>
        <sz val="8.0"/>
      </rPr>
      <t xml:space="preserve">   </t>
    </r>
    <r>
      <rPr>
        <rFont val="Arial"/>
        <color rgb="FF1155CC"/>
        <sz val="8.0"/>
        <u/>
      </rPr>
      <t>Bill.com</t>
    </r>
    <r>
      <rPr>
        <rFont val="Arial"/>
        <sz val="8.0"/>
      </rPr>
      <t xml:space="preserve"> Clearing</t>
    </r>
  </si>
  <si>
    <t xml:space="preserve">   Payroll Clearing</t>
  </si>
  <si>
    <t>0000-2150 Payroll Deductions and Withholdings:0000-2156 Group Health and Life Insurance Payable</t>
  </si>
  <si>
    <t>0000-2150 Payroll Deductions and Withholdings:0000-2158 Teacher Retirement Payable</t>
  </si>
  <si>
    <t>Total Adjustments to reconcile Net Revenue to Net Cash prov:ided by operations</t>
  </si>
  <si>
    <t>PNC Checking</t>
  </si>
  <si>
    <t>PNC Money Mkt</t>
  </si>
  <si>
    <t>Difference in Beg. Cash Balance per Books from Prior Month</t>
  </si>
  <si>
    <t>Outstanding PNC checks</t>
  </si>
  <si>
    <t>Credit card pmts not clearing until June</t>
  </si>
  <si>
    <t>July through Previous Month change in cash</t>
  </si>
  <si>
    <t>Status</t>
  </si>
  <si>
    <t>Date</t>
  </si>
  <si>
    <t>Description</t>
  </si>
  <si>
    <t>Amount</t>
  </si>
  <si>
    <t>What is it?</t>
  </si>
  <si>
    <t>End</t>
  </si>
  <si>
    <t>Unbooked</t>
  </si>
  <si>
    <t>MM</t>
  </si>
  <si>
    <t>Cash Flow</t>
  </si>
  <si>
    <t>Difference</t>
  </si>
  <si>
    <t>D^2</t>
  </si>
  <si>
    <t>Through March</t>
  </si>
  <si>
    <t>Booked</t>
  </si>
  <si>
    <t>matched</t>
  </si>
  <si>
    <t>Stripe transactions clearing 6/2</t>
  </si>
  <si>
    <t>Account QuickReport</t>
  </si>
  <si>
    <t>Transaction Type</t>
  </si>
  <si>
    <t>Num</t>
  </si>
  <si>
    <t>Name</t>
  </si>
  <si>
    <t>Memo/Description</t>
  </si>
  <si>
    <t>Account</t>
  </si>
  <si>
    <t>Class</t>
  </si>
  <si>
    <t>Customer</t>
  </si>
  <si>
    <t>Clr</t>
  </si>
  <si>
    <t xml:space="preserve">DESE Payment </t>
  </si>
  <si>
    <t>End of Year Expected Payment</t>
  </si>
  <si>
    <t>Scenario: March*</t>
  </si>
  <si>
    <t>Actual ADA</t>
  </si>
  <si>
    <t>Projected ADA</t>
  </si>
  <si>
    <t>Summer ADA</t>
  </si>
  <si>
    <t>FRPL Count</t>
  </si>
  <si>
    <t>IEP Count</t>
  </si>
  <si>
    <t>Total WADA</t>
  </si>
  <si>
    <t>Per WADA</t>
  </si>
  <si>
    <t>Total State Aid</t>
  </si>
  <si>
    <t>Total State Aid (less Sponsor)</t>
  </si>
  <si>
    <t>Charter payment</t>
  </si>
  <si>
    <t>Prior Year Correction</t>
  </si>
  <si>
    <t>Difference to budget</t>
  </si>
  <si>
    <t>Weighted Attendance</t>
  </si>
  <si>
    <t>Attendance of enrolled students</t>
  </si>
  <si>
    <t>(91.9% attendance used to account for snow days)</t>
  </si>
  <si>
    <t>*Based on an enrollment of 388 for the remainder of the year</t>
  </si>
  <si>
    <t>** Based on an enrollment of 387 for the remainder of the year</t>
  </si>
  <si>
    <t>SY23 Prior Year Correction</t>
  </si>
  <si>
    <t>This has not been updated for FY24.  LDR does not have this information</t>
  </si>
  <si>
    <t>Bank Account Register</t>
  </si>
  <si>
    <t>FIRST BANK</t>
  </si>
  <si>
    <t>Checks/</t>
  </si>
  <si>
    <t>Deposits/</t>
  </si>
  <si>
    <t>Reference</t>
  </si>
  <si>
    <t>Payments</t>
  </si>
  <si>
    <t>Additions</t>
  </si>
  <si>
    <t>Balance</t>
  </si>
  <si>
    <t>Beginning Balance</t>
  </si>
  <si>
    <t>bill0801</t>
  </si>
  <si>
    <t>360 Quality Care Transport Services - transportation</t>
  </si>
  <si>
    <t>Hayley Morgan - SPED audit consulting srvcs</t>
  </si>
  <si>
    <t>K12 Funds - E-rate consulting srvcs</t>
  </si>
  <si>
    <t>Meramec Builders Inc - moving/assembly srvcs</t>
  </si>
  <si>
    <t>Mr. Handman - moving srvcs</t>
  </si>
  <si>
    <t>National Charter Schools Conference - conference</t>
  </si>
  <si>
    <t>Sign Depot - installation and painting srvcs</t>
  </si>
  <si>
    <t>Tableau - CEO Tableau Cloud subscription - 6/26/23-6/25/24</t>
  </si>
  <si>
    <t>Verdant Edu LLC - PowerSchool consulting - March</t>
  </si>
  <si>
    <t>Tech Electronics - addtl video surveillance - deposit</t>
  </si>
  <si>
    <t>e0801</t>
  </si>
  <si>
    <t>MOASPA - MOASPA conference</t>
  </si>
  <si>
    <t>Moonlight Diner - Denver conference meals</t>
  </si>
  <si>
    <t>Moonlight Diner - meals - Denver prof dev conference</t>
  </si>
  <si>
    <t>e0801b</t>
  </si>
  <si>
    <t>Sandbox - new staff training teambuilding event</t>
  </si>
  <si>
    <t>Puttshack St. Louis - new staff teambuilding event</t>
  </si>
  <si>
    <t>Lyft - transportation for CEO staff training</t>
  </si>
  <si>
    <t>Puttshack St. Louis - new employee lunch</t>
  </si>
  <si>
    <t>Puttshack St. Louis - new employee lunch - HS/MS</t>
  </si>
  <si>
    <t>Puttshack St. Louis - new employee lunch - MS/HS</t>
  </si>
  <si>
    <t>Wedge - Wedge interview platform</t>
  </si>
  <si>
    <t>Southwest Airlines - ldrshp conference flight</t>
  </si>
  <si>
    <t>Puttshack St. Louis - new staff event</t>
  </si>
  <si>
    <t>Lyft - transportation for Instructional retreat</t>
  </si>
  <si>
    <t>Party City - team celebration supplies</t>
  </si>
  <si>
    <t>Family Dollar - new staff training supplies</t>
  </si>
  <si>
    <t>USPS - postage</t>
  </si>
  <si>
    <t>Southwest Airlines - flight adj for ldrshp conference</t>
  </si>
  <si>
    <t>e0801c</t>
  </si>
  <si>
    <t>Everett - misc supplies</t>
  </si>
  <si>
    <t>Lyft - transportation for conference</t>
  </si>
  <si>
    <t>Party City - new staff training supplies</t>
  </si>
  <si>
    <t>OfficeMax/Depot - BOY Prof Dev supplies</t>
  </si>
  <si>
    <t>Advantage Limousine - transportation for school ldrs</t>
  </si>
  <si>
    <t>bill0802</t>
  </si>
  <si>
    <t>South Side Space - office space rental - 8</t>
  </si>
  <si>
    <t>South Side Space - office space rental - 1</t>
  </si>
  <si>
    <t>South Side Space - office space rental - 6</t>
  </si>
  <si>
    <t>e0802</t>
  </si>
  <si>
    <t>Adobe Acropro - mthly subscription</t>
  </si>
  <si>
    <t>Cic Innovation Com - space rental charge to operations</t>
  </si>
  <si>
    <t>Expensify - mthly payment</t>
  </si>
  <si>
    <t>Durham School Services - MS field trip transportation refund</t>
  </si>
  <si>
    <t>Debit</t>
  </si>
  <si>
    <t>Catering By Christy - Convocation venue</t>
  </si>
  <si>
    <t>One Stop Shop Imprints - Convocation supplies</t>
  </si>
  <si>
    <t>Majorette - Convocation space rental</t>
  </si>
  <si>
    <t>Amenta Robertson - Convocation food</t>
  </si>
  <si>
    <t>Majorette - Convocation food</t>
  </si>
  <si>
    <t>Employee- pymt for failed direct deposit on 7/31 payroll</t>
  </si>
  <si>
    <t>e0803</t>
  </si>
  <si>
    <t>Amazon - Convocation awards supplies</t>
  </si>
  <si>
    <t>Sam's Club - school membership</t>
  </si>
  <si>
    <t>Sam's Club - misc supplies</t>
  </si>
  <si>
    <t>South Side Space - Nebula - office rent</t>
  </si>
  <si>
    <t>Cic Innovation Com - food for BOY training - MDS/HS/MS</t>
  </si>
  <si>
    <t>Society for Human Resource - SHRM membership</t>
  </si>
  <si>
    <t>One Stop Shop Imprints - staff supplies</t>
  </si>
  <si>
    <t>Amazon - portable monitors for working offsite</t>
  </si>
  <si>
    <t>Fee</t>
  </si>
  <si>
    <t>Cashier check fee</t>
  </si>
  <si>
    <t>MyPay 
deposit</t>
  </si>
  <si>
    <t>MyPay refund of 7/31 failed direct deposit</t>
  </si>
  <si>
    <t>Deposit - Transportation Grant from St. Louis Art Museum</t>
  </si>
  <si>
    <t>e0804</t>
  </si>
  <si>
    <t>Teachers Pay Teachers - HS tech supplies</t>
  </si>
  <si>
    <t>Everett - convocation</t>
  </si>
  <si>
    <t>Talkroute - student platform</t>
  </si>
  <si>
    <t>Chez Ali - mtg lunch to discuss BOY PD training</t>
  </si>
  <si>
    <t>bill0807</t>
  </si>
  <si>
    <t>Margaritaville Lake Resort - MDS retreat</t>
  </si>
  <si>
    <t>Hartford Life and Accidental Insurance Company - Workers Comp - 
7/22/22-7/22/23</t>
  </si>
  <si>
    <t>The Holdsworth Center - Conference</t>
  </si>
  <si>
    <t>e0807</t>
  </si>
  <si>
    <t>USPS - postage for mandated APR ltrs to families</t>
  </si>
  <si>
    <t>Target - card stock for convocation certificates</t>
  </si>
  <si>
    <t>Taco &amp; Ice Cream Joint - staff meals</t>
  </si>
  <si>
    <t>Cic Innovation Com - new employee onboarding - facility rental</t>
  </si>
  <si>
    <t>Bounce House Comp - Family Fun Day</t>
  </si>
  <si>
    <t>Deposit</t>
  </si>
  <si>
    <t>Expensify Cash Back</t>
  </si>
  <si>
    <t>e0808</t>
  </si>
  <si>
    <t>Lyft - Excellent schools vist transportation</t>
  </si>
  <si>
    <t>Lyft - Excellent schools visit transportation</t>
  </si>
  <si>
    <t>DJMENTIFRESH - convocation</t>
  </si>
  <si>
    <t>Amazon - sanitizer</t>
  </si>
  <si>
    <t>Lowe's - painting and patching building</t>
  </si>
  <si>
    <t>Imani Express - supplies for campus visit</t>
  </si>
  <si>
    <t>Bk9 - meal during school visit</t>
  </si>
  <si>
    <t>Primark - supplies during school visit</t>
  </si>
  <si>
    <t>Amazon - facilities supplies</t>
  </si>
  <si>
    <t>Kokomo - school leader practice review meeting</t>
  </si>
  <si>
    <t>Commdepot - service for network office install</t>
  </si>
  <si>
    <t>Wedge - interview platform</t>
  </si>
  <si>
    <t>Family Dollar - supplies</t>
  </si>
  <si>
    <t>OfficeMax/Depot - envelopes/labels for mandated APR ltrs to 
parents</t>
  </si>
  <si>
    <t>Facebook - Facebook marketing</t>
  </si>
  <si>
    <t>Imos Pizza - food for FWOS team</t>
  </si>
  <si>
    <t>Wal-Mart - staff convocation supplies</t>
  </si>
  <si>
    <t>The Hawthorn - pictures for network team office</t>
  </si>
  <si>
    <t>Amazeclean - Network Clean</t>
  </si>
  <si>
    <t>Gastropub - BOY Principal dinner</t>
  </si>
  <si>
    <t>Dollar General - picture frames for convocation</t>
  </si>
  <si>
    <t>Dollar General - picture frames for convocation awards</t>
  </si>
  <si>
    <t>Wal-Mart - document frames for convocation awards</t>
  </si>
  <si>
    <t>Rebate 
Refund</t>
  </si>
  <si>
    <t>Staples - rebate refund</t>
  </si>
  <si>
    <t>Voided a payment on 5/5 to Sally Lemkemeier</t>
  </si>
  <si>
    <t>bill0809</t>
  </si>
  <si>
    <t>Color Art - 9th gr Science classroom furniture</t>
  </si>
  <si>
    <t>DeansList - license - Spring 2023</t>
  </si>
  <si>
    <t>Gadell Net Consulting Services, Inc. - Guru Care - Bronze mthly 
billing</t>
  </si>
  <si>
    <t>Gadell Net Consulting Services, Inc. - Microsoft 365 mthly 
billing</t>
  </si>
  <si>
    <t>Gama Consulting - mthly consulting</t>
  </si>
  <si>
    <t>KJ Consulting Group LLC - consulting srvcs</t>
  </si>
  <si>
    <t>Mango Strategies LLC - CEO Communications Consulting</t>
  </si>
  <si>
    <t>Mr. Handman - shelving delivery</t>
  </si>
  <si>
    <t>Public School Retirement System - retirement - 7/15/23</t>
  </si>
  <si>
    <t>Better Business Planning - COBRA admin fees</t>
  </si>
  <si>
    <t>Rosenblum Goldenhersh - legal srvcs regarding school expansion 
site</t>
  </si>
  <si>
    <t>Project</t>
  </si>
  <si>
    <t>Sally Lemkemeier - OPS support</t>
  </si>
  <si>
    <t>SchoolMint, Inc - Grow/Grow onboarding/Grow Video/Training srvcs</t>
  </si>
  <si>
    <t>Sci Engineering Inc - geotechnical srvcs for 4153 Bingham Ave site</t>
  </si>
  <si>
    <t>Wire Transfer</t>
  </si>
  <si>
    <t>US Title - land acquisition admin cost</t>
  </si>
  <si>
    <t>e0810</t>
  </si>
  <si>
    <t>Protrainings LLC - supplies</t>
  </si>
  <si>
    <t>Nfhs Learn.com Course - supplies</t>
  </si>
  <si>
    <t>Lambert - parking for school visit travel</t>
  </si>
  <si>
    <t>Schnucks - incentives for network staff return to office</t>
  </si>
  <si>
    <t>Hilton - meeting with donors for 2023/24 updates</t>
  </si>
  <si>
    <t>Lyft - CEO meeting transportation</t>
  </si>
  <si>
    <t>Jazzhr - employee recruitment platform</t>
  </si>
  <si>
    <t>UHC -EFT</t>
  </si>
  <si>
    <t>United Healthcare - Med/Dent/Vis ins - August</t>
  </si>
  <si>
    <t>e0811</t>
  </si>
  <si>
    <t>Amazon - case for network CEO office tablet</t>
  </si>
  <si>
    <t>Amazon - whiteboard for CEO office</t>
  </si>
  <si>
    <t>Amazon - screen for network CEO office</t>
  </si>
  <si>
    <t>Wal-Mart - supplies</t>
  </si>
  <si>
    <t>Agi*tmo - service fee for tablet lost device protection</t>
  </si>
  <si>
    <t>Lyft - travel for school office supplies</t>
  </si>
  <si>
    <t>Target - office supplies for network team</t>
  </si>
  <si>
    <t>Homestyle Grill - Open House event</t>
  </si>
  <si>
    <t>ZOOM - video tech platform</t>
  </si>
  <si>
    <t>bill0814</t>
  </si>
  <si>
    <t>Brandon Evans - compliance consulting services</t>
  </si>
  <si>
    <t>Concordia Publishing House - badges/misc repairs and fees</t>
  </si>
  <si>
    <t>Concordia Publishing House - rent/trash srvcs</t>
  </si>
  <si>
    <t>His Kingdom Carriers LLC - field trip transportation</t>
  </si>
  <si>
    <t>Miriam - SLP services</t>
  </si>
  <si>
    <t>Miriam - OT evalutation srvcs</t>
  </si>
  <si>
    <t>Miriam - OT evaluation srvcs</t>
  </si>
  <si>
    <t>Mr. Handman - relocation, assembly, install of furniture, trash 
disposal</t>
  </si>
  <si>
    <t>Public School Retierement System - retirement 7/31/23</t>
  </si>
  <si>
    <t>Steadfast City Economic Community Partners - retainer for NMTC 
consulting</t>
  </si>
  <si>
    <t>SumnerOne - copier lease</t>
  </si>
  <si>
    <t>Vashaunta Harris - ldrshp coaching for K. Reyes</t>
  </si>
  <si>
    <t>Travonna Hunter - MDS virtual assistant</t>
  </si>
  <si>
    <t>Verdant Edu LLC - Amazon web srvcs/Tableau setup</t>
  </si>
  <si>
    <t>Westin - OPS retreat lodging</t>
  </si>
  <si>
    <t>e0814</t>
  </si>
  <si>
    <t>Uber Eats - network awards celebration</t>
  </si>
  <si>
    <t>Uber Eats - meal for staff training meeting</t>
  </si>
  <si>
    <t>Imos Pizza - food for team</t>
  </si>
  <si>
    <t>Massage Envy - supplies</t>
  </si>
  <si>
    <t>Lyft - travel for network office supplies</t>
  </si>
  <si>
    <t>Jifiti Blue Mountain - network awards celebration</t>
  </si>
  <si>
    <t>T-Mobile - case for CEO device</t>
  </si>
  <si>
    <t>Joy of Yoga - employee recognition</t>
  </si>
  <si>
    <t>ZOOM - video tech</t>
  </si>
  <si>
    <t>Getclockwise.com - scheduling platform</t>
  </si>
  <si>
    <t>The Home Depot - keys for network school team office</t>
  </si>
  <si>
    <t>e0815</t>
  </si>
  <si>
    <t>Wal-Mart - desk</t>
  </si>
  <si>
    <t>Dollar Tree - supplies</t>
  </si>
  <si>
    <t>Wal-Mart - supplies - back to school night</t>
  </si>
  <si>
    <t>Schnucks - supplies</t>
  </si>
  <si>
    <t>DJ Oreo - DJ for back to school night - MS</t>
  </si>
  <si>
    <t>Egg - meeting with PIR candidate</t>
  </si>
  <si>
    <t>The UPS Store - package delivery for school supplies</t>
  </si>
  <si>
    <t>Sophie's Artist - new staff incentive swag</t>
  </si>
  <si>
    <t>Lyft - travel for consultant</t>
  </si>
  <si>
    <t>The Bellwether - potential PIR candidate meeting</t>
  </si>
  <si>
    <t>Get Jerked - meal with donor to review Kairos progres</t>
  </si>
  <si>
    <t>Amazon - tablet for network CEO office</t>
  </si>
  <si>
    <t>Apple.com - app for storage with google videos</t>
  </si>
  <si>
    <t>1-800-flowers.com - flowers for bereaved family</t>
  </si>
  <si>
    <t>The Teachers' Lounge - classroom supplies</t>
  </si>
  <si>
    <t>Topgolf - employee recognition</t>
  </si>
  <si>
    <t>Paycor</t>
  </si>
  <si>
    <t>Paycor - payroll fees 8/15/23</t>
  </si>
  <si>
    <t>PJE - DD</t>
  </si>
  <si>
    <t>Direct Deposits</t>
  </si>
  <si>
    <t>PJE - ODP</t>
  </si>
  <si>
    <t>OnDemand pay payments</t>
  </si>
  <si>
    <t>PJE - tax</t>
  </si>
  <si>
    <t>Tax remittance</t>
  </si>
  <si>
    <t>e0816</t>
  </si>
  <si>
    <t>Bounce House Comp - event</t>
  </si>
  <si>
    <t>Amazon - desk for network office</t>
  </si>
  <si>
    <t>Bounce House Comp - Back to School Night supplies</t>
  </si>
  <si>
    <t>Lyft - transportation for school house office supplies</t>
  </si>
  <si>
    <t>Maps International - supplies</t>
  </si>
  <si>
    <t>Panda Doc Inc. - platform</t>
  </si>
  <si>
    <t>Homestyle Grill - refund</t>
  </si>
  <si>
    <t>Deposit - MO Health/Gadellnet Refund</t>
  </si>
  <si>
    <t>e0817</t>
  </si>
  <si>
    <t>Bounce House Comp - refund</t>
  </si>
  <si>
    <t>Domino's - Back to School Night staff dinner</t>
  </si>
  <si>
    <t>Teatopia - staff lunch</t>
  </si>
  <si>
    <t>Target - supplies</t>
  </si>
  <si>
    <t>Spreadshirt earnings</t>
  </si>
  <si>
    <t>e18</t>
  </si>
  <si>
    <t>Apple.com - yrly sub. to email password srvce</t>
  </si>
  <si>
    <t>e0818</t>
  </si>
  <si>
    <t>Vincent Van Doughnut - staff training day incentive</t>
  </si>
  <si>
    <t>Whistlepitch - staff/student recruitment texting platform</t>
  </si>
  <si>
    <t>Wixpos dep</t>
  </si>
  <si>
    <t>Wixpos deposit - staff replacement badge</t>
  </si>
  <si>
    <t>DESE Dep</t>
  </si>
  <si>
    <t>DESE Deposit</t>
  </si>
  <si>
    <t>e0821</t>
  </si>
  <si>
    <t>Amazon - service fee for tablet installation</t>
  </si>
  <si>
    <t>Amazon - supplies</t>
  </si>
  <si>
    <t>Teatopia - lunch with Mango Consulting</t>
  </si>
  <si>
    <t>Target - network office screen for conference room</t>
  </si>
  <si>
    <t>bill0822</t>
  </si>
  <si>
    <t>Color Art - privacy walls for 2nd, 5th fl areas</t>
  </si>
  <si>
    <t>GHA Technologies, Inc. - Dell computers</t>
  </si>
  <si>
    <t>MSHAA - dues</t>
  </si>
  <si>
    <t>MSHAA - registration for summer AD workshop</t>
  </si>
  <si>
    <t>Maxim Healthcare Staffing Srvcs - SPED teacher</t>
  </si>
  <si>
    <t>Project Lead The Way - prof development seminar registration</t>
  </si>
  <si>
    <t>Project Lead The Way - prof development seminare registration</t>
  </si>
  <si>
    <t>Better Business Planning - COBRA Admin fees</t>
  </si>
  <si>
    <t>Facility project</t>
  </si>
  <si>
    <t>Shands Elbert Gianoulakis Giljum Llp - general legal issues</t>
  </si>
  <si>
    <t>Staples - general office supplies</t>
  </si>
  <si>
    <t>Staples - paper</t>
  </si>
  <si>
    <t>Staples - misc supplies</t>
  </si>
  <si>
    <t>Teaming Solutions - PowerSchool &amp; MOIS support mthly fee</t>
  </si>
  <si>
    <t>Think Forward LLC - consulting srvcs</t>
  </si>
  <si>
    <t>e0822</t>
  </si>
  <si>
    <t>Amazon - 8th gr History supplies</t>
  </si>
  <si>
    <t>Amazon - Wet vacuum for sanitation/supplies for staff lounge</t>
  </si>
  <si>
    <t>Amazon - shelving for staff break room</t>
  </si>
  <si>
    <t>Chick-fil-a - meals</t>
  </si>
  <si>
    <t>Upbar - meal with potential contractor for school pictures</t>
  </si>
  <si>
    <t>DeFrance Elegance - network leader stepback services</t>
  </si>
  <si>
    <t>Expensify 
Refund</t>
  </si>
  <si>
    <t>Expensify Refund - Officemax - supplies</t>
  </si>
  <si>
    <t>e0823</t>
  </si>
  <si>
    <t>Apple.com - app for CEO network presentations</t>
  </si>
  <si>
    <t>Wal-Mart - services</t>
  </si>
  <si>
    <t>Epic Pizza Subs - FDOS staff lunch incentive</t>
  </si>
  <si>
    <t>Pharoah - FDOS breakfast for staff</t>
  </si>
  <si>
    <t>Schnucks - network staff office supplies</t>
  </si>
  <si>
    <t>Save-A-Lot - campus kitchen supplies</t>
  </si>
  <si>
    <t>Best Buy - projectors for new classrooms</t>
  </si>
  <si>
    <t>Selective</t>
  </si>
  <si>
    <t>Daniel &amp; Henry - Selective Insurance</t>
  </si>
  <si>
    <t>e0824</t>
  </si>
  <si>
    <t>Starbucks - FDOS staff incentive breakfast</t>
  </si>
  <si>
    <t>Micro Center - projectors for new classrooms</t>
  </si>
  <si>
    <t>Teatopia - FWOS network leader incentive</t>
  </si>
  <si>
    <t>Amazeclean - network cleaning staff</t>
  </si>
  <si>
    <t>The Kansas City Star - subscription</t>
  </si>
  <si>
    <t>South Side Space - Nebula - rent</t>
  </si>
  <si>
    <t>e0825</t>
  </si>
  <si>
    <t>Southwest Airlines - Excellent schools visit flight</t>
  </si>
  <si>
    <t>Apple.com - storage space for CEO videos</t>
  </si>
  <si>
    <t>Grand Grill Meat Market - staff celebration baby shower</t>
  </si>
  <si>
    <t>Twilio - direct text message - recruitment</t>
  </si>
  <si>
    <t>Adobe Acropro - business office platform</t>
  </si>
  <si>
    <t>J2 Efax Services - communication</t>
  </si>
  <si>
    <t>Righinbox - email management system</t>
  </si>
  <si>
    <t>bill0828</t>
  </si>
  <si>
    <t>Accord Building Services - day porter srvcs</t>
  </si>
  <si>
    <t>American Dining Creation/KC Commissary - meals</t>
  </si>
  <si>
    <t>American Dining Creation/KC Commissary - meals - lunch</t>
  </si>
  <si>
    <t>Brandon Evans - data analysis consulting srvcs</t>
  </si>
  <si>
    <t>GHA Technologies, Inc. - Dell computers - MS</t>
  </si>
  <si>
    <t>GHA Technologies, Inc. - Dell computers - HS</t>
  </si>
  <si>
    <t>Julie Poluszejko - onsite prof learning data tracker rollups</t>
  </si>
  <si>
    <t>Missouri Charter Public School Association - membership</t>
  </si>
  <si>
    <t>Missouri Department of Natural Resources - bus grant program</t>
  </si>
  <si>
    <t>Public School Retirement System - retirement - 8/15/23</t>
  </si>
  <si>
    <t>Orian Bradford Jr. - recruitment intern</t>
  </si>
  <si>
    <t>e0828</t>
  </si>
  <si>
    <t>Mailchimp - email marketing</t>
  </si>
  <si>
    <t>Panera Bread - ldrshp team lunch FWOS</t>
  </si>
  <si>
    <t>Target - supplies for network office space</t>
  </si>
  <si>
    <t>BILL.COM - business office</t>
  </si>
  <si>
    <t>Cafe Piazza - team lunch</t>
  </si>
  <si>
    <t>South Side Space - Nebula - rent - REFUND</t>
  </si>
  <si>
    <t>e0829</t>
  </si>
  <si>
    <t>Uber Eats - office snacks for network office</t>
  </si>
  <si>
    <t>Uber Eats - office snack for network office</t>
  </si>
  <si>
    <t>Uber Eats - office snacks for network office - REFUND</t>
  </si>
  <si>
    <t>Fortune Teller Bar - CEO staff incentive for FWOS</t>
  </si>
  <si>
    <t>Teatopia - School Week One celebration</t>
  </si>
  <si>
    <t>e0830</t>
  </si>
  <si>
    <t>Uber Eats - meal</t>
  </si>
  <si>
    <t>Prime 55 Restaurant - CEO mtg w/ex staff mbr to review GPTW</t>
  </si>
  <si>
    <t>Wal-Mart - supplies for network office</t>
  </si>
  <si>
    <t>Cortex Garage - parking</t>
  </si>
  <si>
    <t>e0831</t>
  </si>
  <si>
    <t>Apple.com - network storage plan for video space</t>
  </si>
  <si>
    <t>Adobe Acropro - subscription</t>
  </si>
  <si>
    <t>The Business Journals - CEO mbrshp to STL Business Journal</t>
  </si>
  <si>
    <t>Survey Monkey - platform</t>
  </si>
  <si>
    <t>Totals</t>
  </si>
  <si>
    <t>PAY PAL</t>
  </si>
  <si>
    <t>Net</t>
  </si>
  <si>
    <t xml:space="preserve">Beginning Balance	</t>
  </si>
  <si>
    <t xml:space="preserve">Totals	</t>
  </si>
  <si>
    <t>Total all accounts</t>
  </si>
  <si>
    <t>January 2022</t>
  </si>
  <si>
    <t xml:space="preserve">      0000-5199 Fund Transfers In</t>
  </si>
  <si>
    <t xml:space="preserve">      0000-5445 School Lunch Program</t>
  </si>
  <si>
    <t xml:space="preserve">      1131-6111 MS Instruction Cert FT</t>
  </si>
  <si>
    <t xml:space="preserve">      1131-6211 MS Instruction Cert PRS</t>
  </si>
  <si>
    <t xml:space="preserve">      1131-6231 MS Instruction Social Security</t>
  </si>
  <si>
    <t xml:space="preserve">      1131-6232 MS Instruction Medicare</t>
  </si>
  <si>
    <t xml:space="preserve">      1131-6241 MS Instruction Employee Insurance</t>
  </si>
  <si>
    <t xml:space="preserve">   0000-6399 Fund Transfers Out</t>
  </si>
  <si>
    <t xml:space="preserve">   0000-6XXX-3 Occupancy Service</t>
  </si>
  <si>
    <t xml:space="preserve">      1131-6319 MS Instruction Professional Services</t>
  </si>
  <si>
    <t xml:space="preserve">      1411-6319 Student Activities Professional Services</t>
  </si>
  <si>
    <t xml:space="preserve">      1411-6411 Student Activities Supplies</t>
  </si>
  <si>
    <t xml:space="preserve">      2211-6319 Inst Support Professional Services</t>
  </si>
  <si>
    <t xml:space="preserve">      2562-6411 Food Preparation Supplies</t>
  </si>
  <si>
    <t xml:space="preserve">      2331-6316 IT Admin Data Processing</t>
  </si>
  <si>
    <t xml:space="preserve">      2331-6338 IT Admin Tech Rental</t>
  </si>
  <si>
    <t xml:space="preserve">      2511-6319 Business Office Professional Services</t>
  </si>
  <si>
    <t>Monday, Feb 07, 2022 10:54:22 PM GMT-8 - Accrual Basis</t>
  </si>
  <si>
    <t>Variable</t>
  </si>
  <si>
    <t>Month Start</t>
  </si>
  <si>
    <t>Month End</t>
  </si>
  <si>
    <t>in_is</t>
  </si>
  <si>
    <t>category</t>
  </si>
  <si>
    <t>function_object</t>
  </si>
  <si>
    <t>type</t>
  </si>
  <si>
    <t>total</t>
  </si>
  <si>
    <t>Local Revenue</t>
  </si>
  <si>
    <t>State Revenue</t>
  </si>
  <si>
    <t>Federal Revenue</t>
  </si>
  <si>
    <t>0000-5422</t>
  </si>
  <si>
    <t>Salaries</t>
  </si>
  <si>
    <t>Benefits and Taxes</t>
  </si>
  <si>
    <t>Student Expense, Direct</t>
  </si>
  <si>
    <t>Student Expense, Indirect</t>
  </si>
  <si>
    <t>Staff Related</t>
  </si>
  <si>
    <t>Office and Business Expense</t>
  </si>
  <si>
    <t>Occupancy Service</t>
  </si>
  <si>
    <t>Rent</t>
  </si>
  <si>
    <t>Transportation</t>
  </si>
  <si>
    <t>1131-6317</t>
  </si>
  <si>
    <t>0000-5423</t>
  </si>
  <si>
    <t>2222-6411</t>
  </si>
  <si>
    <t>Key Revenue Projections</t>
  </si>
  <si>
    <t>Key</t>
  </si>
  <si>
    <t>Realistic</t>
  </si>
  <si>
    <t>Additional Expense</t>
  </si>
  <si>
    <t>STATE</t>
  </si>
  <si>
    <t>Change from last month</t>
  </si>
  <si>
    <t>GRANTS</t>
  </si>
  <si>
    <t>TOT</t>
  </si>
  <si>
    <t>NSVF</t>
  </si>
  <si>
    <t>STOP Award</t>
  </si>
  <si>
    <t>Other</t>
  </si>
  <si>
    <t>FEDERAL</t>
  </si>
  <si>
    <t>Title I</t>
  </si>
  <si>
    <t>Title IIa</t>
  </si>
  <si>
    <t>Title IV</t>
  </si>
  <si>
    <t>ESSER II</t>
  </si>
  <si>
    <t>ESSER III</t>
  </si>
  <si>
    <t>SPED Part B</t>
  </si>
  <si>
    <t>CSP</t>
  </si>
  <si>
    <t>~$60-80K in additional projected expenses for a security system ($40K); data agglomeration, visualization, and report card software ($20K); and (potentially) additional furniture ($20K)</t>
  </si>
  <si>
    <t>Breakfast Grant</t>
  </si>
  <si>
    <t>IAL</t>
  </si>
  <si>
    <t>~$78K covers planned for expenses</t>
  </si>
  <si>
    <t>Medicaid</t>
  </si>
  <si>
    <t>TOTAL</t>
  </si>
  <si>
    <t>debits</t>
  </si>
  <si>
    <t>credits</t>
  </si>
  <si>
    <t>balance</t>
  </si>
  <si>
    <t>KAIROS ACADEMIES FI</t>
  </si>
  <si>
    <t>PREAUTHORIZED ACH CREDIT</t>
  </si>
  <si>
    <t>KAIROS ACADEMIES FIRST BANK TEST\</t>
  </si>
  <si>
    <t>KAIROS ACADEMIES CA</t>
  </si>
  <si>
    <t>KAIROS ACADEMIES CASH DISB 220408</t>
  </si>
  <si>
    <t>RTP Credit</t>
  </si>
  <si>
    <t>PAYMENT FROM BILL.COM 215376358 20220415021000021P1BRJPM00510039866</t>
  </si>
  <si>
    <t>Brex Inc. PA</t>
  </si>
  <si>
    <t>Brex Inc. PAYMENTS 220415 BREXI7YXqtkbENBREXI7YXqtkbEN</t>
  </si>
  <si>
    <t>PREAUTHORIZED ACH DEBIT</t>
  </si>
  <si>
    <t>Brex Inc. PAYMENTS NTE*ZZZ*Brex Card Payment\BREXI7YXqtkVRL</t>
  </si>
  <si>
    <t>STRIPE TR</t>
  </si>
  <si>
    <t>STRIPE TRANSFER 220420 ST-I5N7P0J5U5O8ST-I5N7P0J5U5O8</t>
  </si>
  <si>
    <t>ST. OF MISSOURI VE</t>
  </si>
  <si>
    <t>ST. OF MISSOURI VENDOR PAY 220421 E00004192204627E00004192204627</t>
  </si>
  <si>
    <t>STRIPE TRANSFER 220421 ST-N6O0B3L9W7V6ST-N6O0B3L9W7V6</t>
  </si>
  <si>
    <t>STRIPE TRANSFER 220422 ST-P2T6X1B5E8M4ST-P2T6X1B5E8M4</t>
  </si>
  <si>
    <t>Expensify, Inc. Va</t>
  </si>
  <si>
    <t>Expensify, Inc. Validation 2204221523928</t>
  </si>
  <si>
    <t>Expensify, Inc. Validation 220422 15239281523928</t>
  </si>
  <si>
    <t>STRIPE TRANSFER 220425 ST-B9F2Z6L7R8S2ST-B9F2Z6L7R8S2</t>
  </si>
  <si>
    <t>SELECTIVE INS SE</t>
  </si>
  <si>
    <t>SELECTIVE INS SELECTIVE 220425</t>
  </si>
  <si>
    <t>STRIPE TRANSFER 220426 ST-F0L3C0O5L0P1ST-F0L3C0O5L0P1</t>
  </si>
  <si>
    <t>ST. OF MISSOURI VENDOR PAY 220427 E00004252202573E00004252202573</t>
  </si>
  <si>
    <t>STRIPE TRANSFER 220427 ST-Y1E2S6U7O3J9ST-Y1E2S6U7O3J9</t>
  </si>
  <si>
    <t>STRIPE TRANSFER 220428 ST-S1T0V8L8Y3U5ST-S1T0V8L8Y3U5</t>
  </si>
  <si>
    <t>PAYCHEX TPS TA</t>
  </si>
  <si>
    <t>PAYCHEX TPS TAXES 220428 97031200001034X97031200001034X</t>
  </si>
  <si>
    <t>PAYCHEX PA</t>
  </si>
  <si>
    <t>PAYCHEX PAYROLL 220428 97036000004259X97036000004259X</t>
  </si>
  <si>
    <t>STRIPE TRANSFER 220429 ST-R2K2E0M5G0I1ST-R2K2E0M5G0I1</t>
  </si>
  <si>
    <t>NOTE:  This is the detail used to update the Daily Cash Flow tab</t>
  </si>
  <si>
    <t>Vendor</t>
  </si>
  <si>
    <t>Purchaser</t>
  </si>
  <si>
    <t>Original Merchant</t>
  </si>
  <si>
    <t>Posted date</t>
  </si>
  <si>
    <t>Sales date</t>
  </si>
  <si>
    <t>Original Amount</t>
  </si>
  <si>
    <t>First name</t>
  </si>
  <si>
    <t>Last name</t>
  </si>
  <si>
    <t>Email</t>
  </si>
  <si>
    <t>Expense status</t>
  </si>
  <si>
    <t>Report name</t>
  </si>
  <si>
    <t>Report status</t>
  </si>
  <si>
    <t>Submitted to</t>
  </si>
  <si>
    <t>Report URL</t>
  </si>
  <si>
    <t>Comment</t>
  </si>
  <si>
    <t>External ID</t>
  </si>
  <si>
    <t>Amzn Mktp Us</t>
  </si>
  <si>
    <t>Marnae</t>
  </si>
  <si>
    <t>Chavers</t>
  </si>
  <si>
    <t>marnae.chavers@kairosacademies.org</t>
  </si>
  <si>
    <t>reported</t>
  </si>
  <si>
    <t>Expense Report #R00XKEvbq2QZ</t>
  </si>
  <si>
    <t>Open</t>
  </si>
  <si>
    <t>https://www.expensify.com/report?reportID=R00XKEvbq2QZ</t>
  </si>
  <si>
    <t>Two big checks for Kairos Convocation awards ceremony</t>
  </si>
  <si>
    <t>daa386cd-76c5-4201-9c4e-b9ba72c878e3</t>
  </si>
  <si>
    <t>Massage Envy 0056</t>
  </si>
  <si>
    <t>421daf14-304d-4495-b2a0-afe62abc3e72</t>
  </si>
  <si>
    <t>e3f9092c-fae2-43f3-87b2-98936ee4b221</t>
  </si>
  <si>
    <t>Amzn Mktp Us Amzn.com/</t>
  </si>
  <si>
    <t>52fd1af5-2e03-418a-8db8-3920be7d0427</t>
  </si>
  <si>
    <t>Doordash*chick-fil-a</t>
  </si>
  <si>
    <t>9c471d80-6bda-41e3-8774-540b2d057222</t>
  </si>
  <si>
    <t>Amazon Prime</t>
  </si>
  <si>
    <t>0c19f65a-d037-4723-b790-ed32e9f4e2d9</t>
  </si>
  <si>
    <t>Adobe Acropro Subs</t>
  </si>
  <si>
    <t>b0d186c1-8d2b-43c1-801c-b4e9f628f029</t>
  </si>
  <si>
    <t>Family Dollar #2199</t>
  </si>
  <si>
    <t>c69733d7-8191-4101-bd90-e5258285b5b8</t>
  </si>
  <si>
    <t>Wm Supercenter #5150</t>
  </si>
  <si>
    <t>khalil</t>
  </si>
  <si>
    <t>Graham</t>
  </si>
  <si>
    <t>khalil.graham@kairosacademies.org</t>
  </si>
  <si>
    <t>K. Graham August 4-31 2023</t>
  </si>
  <si>
    <t>Processing</t>
  </si>
  <si>
    <t>bennie.jackson@kairosacademies.org</t>
  </si>
  <si>
    <t>https://www.expensify.com/report?reportID=R00d21HKlhov</t>
  </si>
  <si>
    <t>AD- Staff convocation supplies</t>
  </si>
  <si>
    <t>85905284-77c9-41c4-a85e-9b63792ecf96</t>
  </si>
  <si>
    <t>The Hawthorn</t>
  </si>
  <si>
    <t>AD- pictures for network team office</t>
  </si>
  <si>
    <t>eba5ec06-e9c6-44b6-a63a-35e96d98b6f6</t>
  </si>
  <si>
    <t>0c1e7b1c-f680-4be4-9039-2d84004b538a</t>
  </si>
  <si>
    <t>ccc7d2b7-6bd0-4450-95d3-94d7d30f4660</t>
  </si>
  <si>
    <t>Lyft   *temp Auth Hold</t>
  </si>
  <si>
    <t>AD- Excellent schools visit travel</t>
  </si>
  <si>
    <t>d4d5aa62-686d-4c25-8233-7731841015a4</t>
  </si>
  <si>
    <t>Tst* Imani Express - 519</t>
  </si>
  <si>
    <t>AD- Supplies for campus visit</t>
  </si>
  <si>
    <t>079bfa5d-f4a8-4213-9351-ee5cad78a04d</t>
  </si>
  <si>
    <t>5f0523c3-97d5-4f21-9598-ed2398a462d1</t>
  </si>
  <si>
    <t>Bk-9</t>
  </si>
  <si>
    <t>AD- Meal during school visit</t>
  </si>
  <si>
    <t>2fe582d1-294e-4c38-b3c5-2afb98981c48</t>
  </si>
  <si>
    <t>910c09c5-935b-4b34-a97c-64e31f243577</t>
  </si>
  <si>
    <t>Primark City Point Fulton</t>
  </si>
  <si>
    <t>AD- supplies during school visit</t>
  </si>
  <si>
    <t>0d322c52-ee4a-433c-acca-e680b8a04293</t>
  </si>
  <si>
    <t>f64f957d-ecaa-436a-b6e1-e115563aed53</t>
  </si>
  <si>
    <t>eb40a615-ad03-40aa-a726-7ed9caecd0e7</t>
  </si>
  <si>
    <t>921cb6c6-8801-4dac-9e25-85ac4da49149</t>
  </si>
  <si>
    <t>eca90b8a-c3b5-4959-81cb-000f2dde5e22</t>
  </si>
  <si>
    <t>Tst* Kokomo Nyc</t>
  </si>
  <si>
    <t>AD- School leader practice review meeting</t>
  </si>
  <si>
    <t>65e81216-8b6f-485f-9179-83a2729a7fce</t>
  </si>
  <si>
    <t>16a28242-b2a4-4613-9704-71cb717056a6</t>
  </si>
  <si>
    <t>3433bc08-4886-43c9-a08a-2c749b74a445</t>
  </si>
  <si>
    <t>Commdepot</t>
  </si>
  <si>
    <t>AD-service for network office install</t>
  </si>
  <si>
    <t>43c1a86d-40a1-413d-b3b0-efbd5f9c01c1</t>
  </si>
  <si>
    <t>Cityofstlouis-lambert</t>
  </si>
  <si>
    <t>AD- Parking for school visit</t>
  </si>
  <si>
    <t>632c5e47-97de-4624-a250-e705980cec7d</t>
  </si>
  <si>
    <t>Schnucks Downtown</t>
  </si>
  <si>
    <t>AS-Incentives for network staff return to office</t>
  </si>
  <si>
    <t>01864257-27e2-4d0b-bfea-25c61310cdc2</t>
  </si>
  <si>
    <t>Hilton 360 Bar</t>
  </si>
  <si>
    <t>AD- meeting with donors for 23-24 updates</t>
  </si>
  <si>
    <t>316abf9b-bab9-45e7-9754-c6c3ea8bb446</t>
  </si>
  <si>
    <t>AD- CEO Meeting travel</t>
  </si>
  <si>
    <t>4a6dea42-4e27-46d5-8709-d3b718af361c</t>
  </si>
  <si>
    <t>AD- Case for network ceo office tablet</t>
  </si>
  <si>
    <t>dc24f865-f9a8-4440-9276-07b9d0c319ef</t>
  </si>
  <si>
    <t>AD- White board for CEO office</t>
  </si>
  <si>
    <t>6c60fe99-6184-4406-bb7d-44b5b58af982</t>
  </si>
  <si>
    <t>AD-Screen for network office ceo</t>
  </si>
  <si>
    <t>bb97796f-5fdd-4701-bfe7-ef0b02cd7b6f</t>
  </si>
  <si>
    <t>Agi*tmo Service Fee</t>
  </si>
  <si>
    <t>AD- Fee for tablet lost device protection</t>
  </si>
  <si>
    <t>77e17799-a159-4700-a66a-17bf3bed28c8</t>
  </si>
  <si>
    <t>AD- Travel for school office supplies</t>
  </si>
  <si>
    <t>b81f96c4-c089-44a4-9997-3927ab9cb92d</t>
  </si>
  <si>
    <t>Target T-1515</t>
  </si>
  <si>
    <t>AD- Office supplies for network team</t>
  </si>
  <si>
    <t>ffd87453-4d11-4c33-98c4-3d5ee7f6bdf8</t>
  </si>
  <si>
    <t>Uber   * Eats Pending</t>
  </si>
  <si>
    <t>AD- Network awards celebration</t>
  </si>
  <si>
    <t>7afd9900-08d2-4371-8322-96463e34da3a</t>
  </si>
  <si>
    <t>5aa61450-9737-4642-8a73-9f345a96837d</t>
  </si>
  <si>
    <t>Uber* Eats Pending</t>
  </si>
  <si>
    <t>AD- meal for staff training meeting</t>
  </si>
  <si>
    <t>8805abb5-acec-4803-bea6-6613c8705c0f</t>
  </si>
  <si>
    <t>AD- Travel for network office supplies</t>
  </si>
  <si>
    <t>7fe228c0-ed4d-428d-8f5e-196adfe499c8</t>
  </si>
  <si>
    <t>Jifiti Blue Mountain</t>
  </si>
  <si>
    <t>6cf64657-9dd3-4f73-9296-ba0a204ae823</t>
  </si>
  <si>
    <t>7e521d3e-da5e-419a-9671-c560cbad2949</t>
  </si>
  <si>
    <t>T-mobile Store # 4441</t>
  </si>
  <si>
    <t>AD- case for CEO device</t>
  </si>
  <si>
    <t>c55d8e43-27e5-4e69-ae6d-e9c11504b8fb</t>
  </si>
  <si>
    <t>AD- Tablet for network ceo office</t>
  </si>
  <si>
    <t>484a4171-9145-46cc-aba5-978f6983ebfd</t>
  </si>
  <si>
    <t>Apple.com/bill</t>
  </si>
  <si>
    <t>AD- app for storage with google videos</t>
  </si>
  <si>
    <t>515651c5-ae15-46fb-9b41-11751f689d3b</t>
  </si>
  <si>
    <t>Tst* Egg - Midtown</t>
  </si>
  <si>
    <t>AD- meeting with PIR candidate</t>
  </si>
  <si>
    <t>bff09ba4-44d0-4b90-9fa9-9e1161fa52b8</t>
  </si>
  <si>
    <t>The Ups Store 0532</t>
  </si>
  <si>
    <t>AD- package delivery for school supplies</t>
  </si>
  <si>
    <t>b8da34d3-1223-4b2e-b411-df23be5bd8cb</t>
  </si>
  <si>
    <t>Sq *sophie's Artist Lo</t>
  </si>
  <si>
    <t>AD- New staff incentive swag</t>
  </si>
  <si>
    <t>901c6049-5cb9-4c0f-b181-e93207214c5f</t>
  </si>
  <si>
    <t>AD- travel for consultant</t>
  </si>
  <si>
    <t>38d7bcd0-c1a3-4629-aa37-d6c46e056c92</t>
  </si>
  <si>
    <t>Tst* The Bellwether</t>
  </si>
  <si>
    <t>AD- potential PIR candidate meeting</t>
  </si>
  <si>
    <t>020020ce-332e-4778-8019-bea3d2f79b80</t>
  </si>
  <si>
    <t>Get Jerked</t>
  </si>
  <si>
    <t>AD- meal with donor to review kairos progress</t>
  </si>
  <si>
    <t>0a5b67e9-10ba-445c-8802-2ee479c9d18f</t>
  </si>
  <si>
    <t>Amazon.com</t>
  </si>
  <si>
    <t>AD- Desk for network office</t>
  </si>
  <si>
    <t>e705d2ba-c942-4f1a-b7bf-463848c70867</t>
  </si>
  <si>
    <t>AD- ride for schoolhouse office supplies</t>
  </si>
  <si>
    <t>68b0b689-e585-416e-9905-1c40b8b09371</t>
  </si>
  <si>
    <t>AD- Yearly subscription to email password service</t>
  </si>
  <si>
    <t>58e3987c-4fa4-407e-a420-a1bad1abb02c</t>
  </si>
  <si>
    <t>Vincent Van Doughnut</t>
  </si>
  <si>
    <t>AS- Staff training day incentive</t>
  </si>
  <si>
    <t>50f5afec-e435-41b6-901c-f8cdfae1cf12</t>
  </si>
  <si>
    <t>AD-service fee for. table install</t>
  </si>
  <si>
    <t>693075c0-85d9-478c-824e-8ce6dac63bd6</t>
  </si>
  <si>
    <t>Sq *teatopia?</t>
  </si>
  <si>
    <t>AD- Lunch with mango consulting</t>
  </si>
  <si>
    <t>6d99f526-ea96-4328-bafa-5fc052931f82</t>
  </si>
  <si>
    <t>AD- Network office screen for conference room</t>
  </si>
  <si>
    <t>79c44701-e07d-4f22-968c-1951fe43d05b</t>
  </si>
  <si>
    <t>Upbar</t>
  </si>
  <si>
    <t>AD- meal with potential contractor for school pictures</t>
  </si>
  <si>
    <t>eb83c7ae-f24b-4bcb-913d-44232edd8d53</t>
  </si>
  <si>
    <t>Sq *defrance Elegance</t>
  </si>
  <si>
    <t>AD- Network leader stepback services</t>
  </si>
  <si>
    <t>6b8d14a7-20bf-43c2-ad6f-532cad31c28f</t>
  </si>
  <si>
    <t>AD- App for ceo network presentions</t>
  </si>
  <si>
    <t>a361256e-6ba5-4733-8b05-317182037dbc</t>
  </si>
  <si>
    <t>AD- App for CEO Network presentations</t>
  </si>
  <si>
    <t>30b2ff65-519c-44bf-a53d-2d362d5c2fb1</t>
  </si>
  <si>
    <t>Epic Pizza Subs</t>
  </si>
  <si>
    <t>AS-FDOS Staff lunch incentive</t>
  </si>
  <si>
    <t>b98cbbfc-8bb9-4d9a-9d25-e1d5110c7aef</t>
  </si>
  <si>
    <t>AS- FDOS Lunch for staff incentive</t>
  </si>
  <si>
    <t>dc2b6fb8-c160-4e0f-939d-d4e68de539c8</t>
  </si>
  <si>
    <t>Pharaoh's Donuts</t>
  </si>
  <si>
    <t>AS- FDOS Breakfast for staff</t>
  </si>
  <si>
    <t>6aa3aa24-6579-43d0-8251-1c902214702a</t>
  </si>
  <si>
    <t>AD- Network staff office supplies</t>
  </si>
  <si>
    <t>6b7466bd-d204-47cb-aec6-8aafa7c6518d</t>
  </si>
  <si>
    <t>Save A Lot 61362</t>
  </si>
  <si>
    <t>AS- Campus kitchen supplies</t>
  </si>
  <si>
    <t>17395451-526a-4b02-8f5a-a9cdc1e618c2</t>
  </si>
  <si>
    <t>Best Buy</t>
  </si>
  <si>
    <t>AS- Projectors for new classroom spaces</t>
  </si>
  <si>
    <t>49589624-15ca-46ca-b784-36e3778ece10</t>
  </si>
  <si>
    <t>Starbucks Store 62568</t>
  </si>
  <si>
    <t>AS- FDOS Staff incentive breakfast</t>
  </si>
  <si>
    <t>8a4e9fc7-6572-45f9-97fd-57da9f501481</t>
  </si>
  <si>
    <t>Micro Center Brntwd-095</t>
  </si>
  <si>
    <t>9b8938aa-b817-4d35-81bd-c0baa8c20f71</t>
  </si>
  <si>
    <t>AD- FWOS Network leader incentive</t>
  </si>
  <si>
    <t>abbc4972-5682-4ed3-b96d-3b0fac88b887</t>
  </si>
  <si>
    <t>Southwes</t>
  </si>
  <si>
    <t>AD- Travel for excellent schools visit</t>
  </si>
  <si>
    <t>876a79f2-ffec-48ea-a9b5-98f206d8b64c</t>
  </si>
  <si>
    <t>AD- Storage space for CEO videos</t>
  </si>
  <si>
    <t>f85b2d33-2367-47cc-9644-a5a794e54409</t>
  </si>
  <si>
    <t>Target T-1102</t>
  </si>
  <si>
    <t>AD- Supplies for network office space</t>
  </si>
  <si>
    <t>768aeec3-9d20-4417-90de-a95dba89ecf9</t>
  </si>
  <si>
    <t>Sq *fortune Teller Bar</t>
  </si>
  <si>
    <t>AS- CEO staff incentive for FWOS</t>
  </si>
  <si>
    <t>31f396a0-6227-4706-9434-190479b3432a</t>
  </si>
  <si>
    <t>AD-Office snacks for network office</t>
  </si>
  <si>
    <t>c3569940-fc71-4f0e-b470-b2f5a8debac7</t>
  </si>
  <si>
    <t>Uber   *eats</t>
  </si>
  <si>
    <t>7440b6ad-7b67-4a0b-8741-ffaaea704340</t>
  </si>
  <si>
    <t>Uber   Eats</t>
  </si>
  <si>
    <t>dfc22725-7c5f-4d67-89f0-0e62be1f98b4</t>
  </si>
  <si>
    <t>Prime 55</t>
  </si>
  <si>
    <t>AD- CEO Meeting with ex staff member to review GPTW</t>
  </si>
  <si>
    <t>9f049984-8114-437a-b4ab-c0ffbf53374d</t>
  </si>
  <si>
    <t>AD- supplies for network office</t>
  </si>
  <si>
    <t>841c7982-2d51-48cc-9ff0-13c85cb5eacf</t>
  </si>
  <si>
    <t>AD-Network storage plan for video space</t>
  </si>
  <si>
    <t>4976846c-ce83-485c-ba20-805893c7677a</t>
  </si>
  <si>
    <t>The Business Journals</t>
  </si>
  <si>
    <t>AD- CEO membership to stl business journey</t>
  </si>
  <si>
    <t>868c9889-24d0-454e-b130-6c9f103a4204</t>
  </si>
  <si>
    <t>45a5516f-ef06-4586-8e0e-082702284229</t>
  </si>
  <si>
    <t>MS-Student incentives for media work</t>
  </si>
  <si>
    <t>01b86e87-e757-42fd-888d-33706f1354a1</t>
  </si>
  <si>
    <t>Adobe  *acropro Subs</t>
  </si>
  <si>
    <t>Bennie</t>
  </si>
  <si>
    <t>Jackson</t>
  </si>
  <si>
    <t>Expense Report #R00KWpKn1aTr</t>
  </si>
  <si>
    <t>Approved</t>
  </si>
  <si>
    <t>beth.mertz@kairosacademies.org</t>
  </si>
  <si>
    <t>https://www.expensify.com/report?reportID=R00KWpKn1aTr</t>
  </si>
  <si>
    <t>243c1787-ca7c-4b42-bcfa-24a73de56e27</t>
  </si>
  <si>
    <t>Cic Innovation Com</t>
  </si>
  <si>
    <t>Space rental Charge to operations</t>
  </si>
  <si>
    <t>e3f09512-2c42-41d4-9d5e-c494a61784e7</t>
  </si>
  <si>
    <t>Expensify.com</t>
  </si>
  <si>
    <t>Expensify Payment</t>
  </si>
  <si>
    <t>3492194a-6a63-4651-a6d3-864888b4bb76</t>
  </si>
  <si>
    <t>Durham School Services</t>
  </si>
  <si>
    <t>refund school trip</t>
  </si>
  <si>
    <t>6e8239bc-f874-41ea-bcc1-9b13a6c0d01a</t>
  </si>
  <si>
    <t>Samsclub #4741</t>
  </si>
  <si>
    <t>School Membership</t>
  </si>
  <si>
    <t>e9ff2a1c-4faa-4488-b341-ea2ceaeff109</t>
  </si>
  <si>
    <t>Split between AS</t>
  </si>
  <si>
    <t>90e98b73-d46c-47c5-96ff-67f8ee294e51</t>
  </si>
  <si>
    <t>Nebulastl.com</t>
  </si>
  <si>
    <t>63064011-4342-4b0a-a1f9-16a6f80409fa</t>
  </si>
  <si>
    <t>Food for BOY training split 3 ways MDS/HS/MS</t>
  </si>
  <si>
    <t>9cdd315d-cfca-493f-a00a-98dfaee400fb</t>
  </si>
  <si>
    <t>Societyforhumanresource</t>
  </si>
  <si>
    <t>Expense Report #R003b7TdaXTo</t>
  </si>
  <si>
    <t>https://www.expensify.com/report?reportID=R003b7TdaXTo</t>
  </si>
  <si>
    <t>SHRM Membership</t>
  </si>
  <si>
    <t>70945704-a068-46cb-b0b3-71d2eb0ed87d</t>
  </si>
  <si>
    <t>One Stop Shop Imprints</t>
  </si>
  <si>
    <t>Staff Supplies</t>
  </si>
  <si>
    <t>abfc65ad-1b68-4338-80ea-cc19b12bb9f8</t>
  </si>
  <si>
    <t>Paypal *everett</t>
  </si>
  <si>
    <t>Convocation</t>
  </si>
  <si>
    <t>10c29a1e-03ae-4b6a-823b-9e5b6f2a0a7b</t>
  </si>
  <si>
    <t>Talkroute.com</t>
  </si>
  <si>
    <t>Student Platform</t>
  </si>
  <si>
    <t>cafb674c-44a5-48a7-8c09-01302580d787</t>
  </si>
  <si>
    <t>New EMployee onboarding - Facility Rental</t>
  </si>
  <si>
    <t>bf78495a-d61a-4d85-bca8-11c1cf6d84d3</t>
  </si>
  <si>
    <t>Fsp*amazeclean Llc</t>
  </si>
  <si>
    <t>Network Clean</t>
  </si>
  <si>
    <t>3edc7478-2565-43a5-b4f5-02ca10d0b355</t>
  </si>
  <si>
    <t>Paypal *djmentifresh</t>
  </si>
  <si>
    <t>74f1b9ea-9203-43fd-ae60-97de8577376f</t>
  </si>
  <si>
    <t>Wedgehr</t>
  </si>
  <si>
    <t>Interview Platform</t>
  </si>
  <si>
    <t>0e61fe5d-9478-41a3-81a2-1a97fd372f16</t>
  </si>
  <si>
    <t>736dce0e-e78a-4be4-aa0c-4d0f5abfbfbd</t>
  </si>
  <si>
    <t>54270f50-7ded-476e-9a27-7cfdb6df1b12</t>
  </si>
  <si>
    <t>Supplies</t>
  </si>
  <si>
    <t>3d834ad1-51a5-4288-b038-442f81423228</t>
  </si>
  <si>
    <t>Jazzhr</t>
  </si>
  <si>
    <t>Employee recruitment platform</t>
  </si>
  <si>
    <t>1fb77a2d-4379-4200-b46d-78f4c9dbae49</t>
  </si>
  <si>
    <t>3f078814-421d-40af-9fec-5531bc8d780b</t>
  </si>
  <si>
    <t>Interview platform</t>
  </si>
  <si>
    <t>d5b78828-8d78-4333-9b81-e0b94e377517</t>
  </si>
  <si>
    <t>8e39a156-96e9-42e6-aa22-d41ff4a3bd4a</t>
  </si>
  <si>
    <t>bd757245-3469-4a82-b387-9f26ac98846c</t>
  </si>
  <si>
    <t>Sq *homestyle Grill Fo</t>
  </si>
  <si>
    <t>Open House Event</t>
  </si>
  <si>
    <t>064b175a-3023-4af0-97ef-6112d581a1f9</t>
  </si>
  <si>
    <t>Zoom.us 888-799-9666</t>
  </si>
  <si>
    <t>Expense Report #R009o8g3OWxn</t>
  </si>
  <si>
    <t>https://www.expensify.com/report?reportID=R009o8g3OWxn</t>
  </si>
  <si>
    <t>Video Tech</t>
  </si>
  <si>
    <t>229eb754-166c-4116-af11-3e8adfacd143</t>
  </si>
  <si>
    <t>Video</t>
  </si>
  <si>
    <t>Joy Of Yoga</t>
  </si>
  <si>
    <t>Employee Recognition</t>
  </si>
  <si>
    <t>77329f7a-aced-4eae-865b-932f3526c6a5</t>
  </si>
  <si>
    <t>0825b9ce-7bfd-417a-ab1b-697a608b5490</t>
  </si>
  <si>
    <t>Getclockwise.com</t>
  </si>
  <si>
    <t>6b48cf32-a684-41ea-92ad-07f147eb79f0</t>
  </si>
  <si>
    <t>Topgolf Cstr Egiftcard</t>
  </si>
  <si>
    <t>Employee Rcognition</t>
  </si>
  <si>
    <t>305bbedf-3e6f-41d6-b5e5-73406fa83622</t>
  </si>
  <si>
    <t>Wm Supercenter #1418</t>
  </si>
  <si>
    <t>Desk</t>
  </si>
  <si>
    <t>f65da426-800c-4350-b894-5d8aa08b7b6b</t>
  </si>
  <si>
    <t>Pandadoc, Inc.</t>
  </si>
  <si>
    <t>Pandadoc</t>
  </si>
  <si>
    <t>2563e80d-a231-4abd-8d99-55f6ad9fb40a</t>
  </si>
  <si>
    <t>Sq *homestyle Grill Food</t>
  </si>
  <si>
    <t>REfund</t>
  </si>
  <si>
    <t>7079b630-48f1-4c14-9881-632beaa1811f</t>
  </si>
  <si>
    <t>329883ca-0093-4108-bd88-f74ff9792790</t>
  </si>
  <si>
    <t>Network Clean Staff</t>
  </si>
  <si>
    <t>1cc5cb70-b5c6-4f97-ba50-5a0a8f253477</t>
  </si>
  <si>
    <t>The Kansas City Star</t>
  </si>
  <si>
    <t>SChool subscription</t>
  </si>
  <si>
    <t>9b272d95-f720-4cce-9ca0-bb5174a23d05</t>
  </si>
  <si>
    <t>35092b88-4b6b-4986-a8a2-42008ba17d90</t>
  </si>
  <si>
    <t>b0aac1a1-6b7c-4eeb-9605-6c010527485a</t>
  </si>
  <si>
    <t>Business Office</t>
  </si>
  <si>
    <t>1bd9246a-1ed3-4283-8823-65075f65858b</t>
  </si>
  <si>
    <t>e799411a-c262-4a35-a403-5699b624f829</t>
  </si>
  <si>
    <t>J2  Efax Services</t>
  </si>
  <si>
    <t>Communication</t>
  </si>
  <si>
    <t>02b30ac1-863e-4b79-a62b-5f4ee86d644b</t>
  </si>
  <si>
    <t>Bill Com Inc</t>
  </si>
  <si>
    <t>d66b2e67-dd4e-47ca-a3c7-57d6f5715dab</t>
  </si>
  <si>
    <t>Cafe Piazza</t>
  </si>
  <si>
    <t>Team Lunch</t>
  </si>
  <si>
    <t>8b181d2a-a9de-4cd2-931f-12f89d4006f6</t>
  </si>
  <si>
    <t>c5e85473-e92e-4b2b-a6b1-512c6e151fcc</t>
  </si>
  <si>
    <t>School Week one celebration</t>
  </si>
  <si>
    <t>077a6c21-0fce-440d-970f-85e9aa1f3783</t>
  </si>
  <si>
    <t>Cortex Lot</t>
  </si>
  <si>
    <t>977635d1-0f2f-4018-8c94-08a8cf290a06</t>
  </si>
  <si>
    <t>Surveymonk* T 44694183</t>
  </si>
  <si>
    <t>21ba5f19-4663-4b1a-8dd3-bb2aa723f892</t>
  </si>
  <si>
    <t>0608fe38-73e8-427b-b5fa-545943bde31d</t>
  </si>
  <si>
    <t>Imos Pizza-gravoisarsenal</t>
  </si>
  <si>
    <t>Nathan</t>
  </si>
  <si>
    <t>Jacobs</t>
  </si>
  <si>
    <t>nathan.jacobs@kairosacademies.org</t>
  </si>
  <si>
    <t>Expense Report #R00SCi6uvQ2C</t>
  </si>
  <si>
    <t>https://www.expensify.com/report?reportID=R00SCi6uvQ2C</t>
  </si>
  <si>
    <t>Food for FWOS Team</t>
  </si>
  <si>
    <t>e5c6f782-59b5-4d5b-ae50-23ac4f0ff29f</t>
  </si>
  <si>
    <t>Expense Report #R0071FdxtWY3</t>
  </si>
  <si>
    <t>https://www.expensify.com/report?reportID=R0071FdxtWY3</t>
  </si>
  <si>
    <t>Santizer</t>
  </si>
  <si>
    <t>4915da50-08fc-4b13-98a1-3f78708624a2</t>
  </si>
  <si>
    <t>Facilities Supplies</t>
  </si>
  <si>
    <t>93cb3534-0731-47b4-bed3-fd67da4d75e6</t>
  </si>
  <si>
    <t>Food for team</t>
  </si>
  <si>
    <t>7c446dea-b584-4d15-a93b-a6dc4279daa8</t>
  </si>
  <si>
    <t>Expense Report #R00ECLzYoAc3</t>
  </si>
  <si>
    <t>https://www.expensify.com/report?reportID=R00ECLzYoAc3</t>
  </si>
  <si>
    <t>Brittany's last day lunch</t>
  </si>
  <si>
    <t>e5080b68-196b-4f22-b742-ead969e7b545</t>
  </si>
  <si>
    <t>Expense Report #R00Yzy55bL81</t>
  </si>
  <si>
    <t>https://www.expensify.com/report?reportID=R00Yzy55bL81</t>
  </si>
  <si>
    <t>6f255e1a-69af-4681-a888-97b63d2f4f5c</t>
  </si>
  <si>
    <t>Expense Report #R00Xj1mD9BYZ</t>
  </si>
  <si>
    <t>https://www.expensify.com/report?reportID=R00Xj1mD9BYZ</t>
  </si>
  <si>
    <t>d77402dd-ce19-47a8-af22-67c00207dd16</t>
  </si>
  <si>
    <t>Facebk J4djpsbef2</t>
  </si>
  <si>
    <t>Jack</t>
  </si>
  <si>
    <t>Krewson</t>
  </si>
  <si>
    <t>jack@kairosacademies.org</t>
  </si>
  <si>
    <t>Expense Report #R005oF9Cnm4v</t>
  </si>
  <si>
    <t>https://www.expensify.com/report?reportID=R005oF9Cnm4v</t>
  </si>
  <si>
    <t>Facebook Marketing</t>
  </si>
  <si>
    <t>b208933c-29cd-49f3-8172-1d234f03b9e2</t>
  </si>
  <si>
    <t>Facebk *3zxhvrtef2</t>
  </si>
  <si>
    <t>40bbd00f-6ace-4bd8-aa03-a13f369cc96b</t>
  </si>
  <si>
    <t>Facebk 6yrmdtpef2</t>
  </si>
  <si>
    <t>84618a33-5a03-4f9f-bc28-90f0bb0a69fb</t>
  </si>
  <si>
    <t>Facebk La6lzsbef2</t>
  </si>
  <si>
    <t>6ae213b3-e081-4c01-be5c-b73a3f8515d2</t>
  </si>
  <si>
    <t>Whistlepitch</t>
  </si>
  <si>
    <t>staff / student recruitment texting platform</t>
  </si>
  <si>
    <t>11ce09bc-7595-4246-909b-15d0cccd01ed</t>
  </si>
  <si>
    <t>Twilio Inc</t>
  </si>
  <si>
    <t>direct text message expenseâ€”recruitment</t>
  </si>
  <si>
    <t>96e4d728-8343-4a8b-b9b6-53d8a7da8b92</t>
  </si>
  <si>
    <t>221ee32c-7a41-4912-9004-55afd5bbb986</t>
  </si>
  <si>
    <t>Usps Po 2871930208</t>
  </si>
  <si>
    <t>Stuart</t>
  </si>
  <si>
    <t>Murray</t>
  </si>
  <si>
    <t>stuart.murray@kairosacademies.org</t>
  </si>
  <si>
    <t>Expense Report #R0081LzVpNPy</t>
  </si>
  <si>
    <t>https://www.expensify.com/report?reportID=R0081LzVpNPy</t>
  </si>
  <si>
    <t>Postage for mandated APR letters to families</t>
  </si>
  <si>
    <t>582a2191-fea8-4de8-ab96-f84fe619955e</t>
  </si>
  <si>
    <t>Card stock for convocation certificates</t>
  </si>
  <si>
    <t>cf76f28e-13c8-4737-997b-6693e38df28a</t>
  </si>
  <si>
    <t>Officemax/depot 6713</t>
  </si>
  <si>
    <t>Envelopes and mailing labels for mandated APR letters to parents</t>
  </si>
  <si>
    <t>0ad1b23e-5369-46b3-b87b-aadfbfb95be8</t>
  </si>
  <si>
    <t>Mailchimp</t>
  </si>
  <si>
    <t>Expense Report #R00YBtm2qdbs</t>
  </si>
  <si>
    <t>https://www.expensify.com/report?reportID=R00YBtm2qdbs</t>
  </si>
  <si>
    <t>Email marketing</t>
  </si>
  <si>
    <t>49db38f1-303f-4045-a78b-969572286f9c</t>
  </si>
  <si>
    <t>Teacherspayteachers.com</t>
  </si>
  <si>
    <t>Nilesh</t>
  </si>
  <si>
    <t>Patel</t>
  </si>
  <si>
    <t>nilesh@kairosacademies.org</t>
  </si>
  <si>
    <t>Patel August 2023</t>
  </si>
  <si>
    <t>kendrah.underwood@kairosacademies.org</t>
  </si>
  <si>
    <t>https://www.expensify.com/report?reportID=R00Ti0NCtDBM</t>
  </si>
  <si>
    <t>d0113326-4b50-4eba-becf-5f380a29c6f5</t>
  </si>
  <si>
    <t>Protrainings, Llc</t>
  </si>
  <si>
    <t>6907d150-cc58-40a8-a44d-14e06a46d9d4</t>
  </si>
  <si>
    <t>Nfhs Learn.com Course</t>
  </si>
  <si>
    <t>e11569fb-2bc5-45db-a252-dda2af7c59ba</t>
  </si>
  <si>
    <t>a30dfb58-510b-4695-9df9-5b330bb6d1dd</t>
  </si>
  <si>
    <t>ecec7934-3c8b-4531-8fa8-19d72b632b1a</t>
  </si>
  <si>
    <t>Dollar Tree</t>
  </si>
  <si>
    <t>3c50b823-2ad3-4364-92e9-e9ad6c2e33f3</t>
  </si>
  <si>
    <t>Wal-mart #5150</t>
  </si>
  <si>
    <t>back to school night</t>
  </si>
  <si>
    <t>90056b8b-9bc7-4e54-b147-5cd0e263d063</t>
  </si>
  <si>
    <t>Schnucks South City</t>
  </si>
  <si>
    <t>17eed4bc-0665-46e2-aa4c-2c182481d4e1</t>
  </si>
  <si>
    <t>2f4a44b6-ab27-494b-9955-586ed94f7246</t>
  </si>
  <si>
    <t>Fsp*the Bounce House Comp</t>
  </si>
  <si>
    <t>b8ba8a97-7a4f-4fa9-8109-0959e840d72e</t>
  </si>
  <si>
    <t>Mapsinternational</t>
  </si>
  <si>
    <t>d98b7050-04b2-4aa2-82d3-0a677670d136</t>
  </si>
  <si>
    <t>e15495da-7cee-4b72-8c39-05a8db5211b9</t>
  </si>
  <si>
    <t>Target.com</t>
  </si>
  <si>
    <t>d8903d11-dbc7-4ffa-93f8-3610dd4dea44</t>
  </si>
  <si>
    <t>Patel August Exspensify</t>
  </si>
  <si>
    <t>https://www.expensify.com/report?reportID=R009ZWhlepbC</t>
  </si>
  <si>
    <t>8bf33616-24c5-4af6-83b3-64f378e1b5a9</t>
  </si>
  <si>
    <t>80d32dbe-567c-4506-ad40-12ef8695d18e</t>
  </si>
  <si>
    <t>https://www.expensify.com/report?reportID=R00dvA6xA4yA</t>
  </si>
  <si>
    <t>ac1d262e-710f-4eac-90f4-103619bb7531</t>
  </si>
  <si>
    <t>d6d1d86c-69f3-4471-92a7-89d1191fa7ad</t>
  </si>
  <si>
    <t>f032c7a0-af38-4c62-bf55-9d04213bef22</t>
  </si>
  <si>
    <t>7f7fa1e4-9eed-454d-9509-92769a158e34</t>
  </si>
  <si>
    <t>fe75e3fd-1fc7-48db-8387-e2f0d938ef1e</t>
  </si>
  <si>
    <t>88377f7d-4684-453a-96e3-eb988c9e6630</t>
  </si>
  <si>
    <t>Amazon.com Amzn.com/bi</t>
  </si>
  <si>
    <t>4154b27c-b63a-4ec3-9e6d-4f3b662ab5b5</t>
  </si>
  <si>
    <t>acd2c3c5-5aba-4b04-a1ac-abb66f205395</t>
  </si>
  <si>
    <t>613c3d86-4094-4b16-8a42-743a07130155</t>
  </si>
  <si>
    <t>98185599-8184-402a-a7aa-62f06e87b012</t>
  </si>
  <si>
    <t>005e3fd8-c8d3-4601-87a8-433495727d1f</t>
  </si>
  <si>
    <t>964e0928-c761-4a2a-b384-8b549ffb26fe</t>
  </si>
  <si>
    <t>Looking for receipts report</t>
  </si>
  <si>
    <t>https://www.expensify.com/report?reportID=R00WWa7BZtJT</t>
  </si>
  <si>
    <t>1687405b-5327-4d3c-a115-0f2007b8a39a</t>
  </si>
  <si>
    <t>7f77f3e2-b606-4f0f-b2bc-029367b1adf8</t>
  </si>
  <si>
    <t>ac7e4d35-7fb4-40d2-9b89-077708b4af0d</t>
  </si>
  <si>
    <t>3a4bd32c-ab8e-418f-854a-f88464b86e41</t>
  </si>
  <si>
    <t>4c292a8a-72f9-4b5b-aba9-4cd23e44c6bb</t>
  </si>
  <si>
    <t>665e0d12-f3f9-42f9-8146-4d63bc94ec5b</t>
  </si>
  <si>
    <t>ce6c2de0-3c7c-4848-8a4e-0775ff1e0a2d</t>
  </si>
  <si>
    <t>b336facc-3183-410d-953b-4ec402b036ee</t>
  </si>
  <si>
    <t>0433e4ad-41e1-40f7-9043-9dab81f3ba6c</t>
  </si>
  <si>
    <t>96a98b40-a59a-4f92-b001-a7c293f4d119</t>
  </si>
  <si>
    <t>Tacos &amp;  Ice Cream Joint</t>
  </si>
  <si>
    <t>Tambra</t>
  </si>
  <si>
    <t>Pendleton</t>
  </si>
  <si>
    <t>tambra.pendleton@kairosacademies.org</t>
  </si>
  <si>
    <t>Pendleton August 2023</t>
  </si>
  <si>
    <t>https://www.expensify.com/report?reportID=R003wc1cV5Pl</t>
  </si>
  <si>
    <t>639978be-7330-4cb1-a40a-9229c400eece</t>
  </si>
  <si>
    <t>Wal-mart #0648</t>
  </si>
  <si>
    <t>https://www.expensify.com/report?reportID=R00LNRvGLeHC</t>
  </si>
  <si>
    <t>f14467a5-6320-4229-9e06-594ab0a09d09</t>
  </si>
  <si>
    <t>1-800-flowers.com,inc.</t>
  </si>
  <si>
    <t>https://www.expensify.com/report?reportID=R00Xe1tfzVBe</t>
  </si>
  <si>
    <t>Flowers for Bereaved Family (S.Logan)</t>
  </si>
  <si>
    <t>59394ec1-25ef-42df-b9b2-361aa35527c5</t>
  </si>
  <si>
    <t>The Teachers' Lounge</t>
  </si>
  <si>
    <t>https://www.expensify.com/report?reportID=R00U5SoQXnUU</t>
  </si>
  <si>
    <t>Teacher's Classroom Supplies</t>
  </si>
  <si>
    <t>936965b3-74c0-4124-a4d4-d6022be063c6</t>
  </si>
  <si>
    <t>Sq *dj Oreo</t>
  </si>
  <si>
    <t>https://www.expensify.com/report?reportID=R00OlpHXYvsB</t>
  </si>
  <si>
    <t>Back to School Night DJ</t>
  </si>
  <si>
    <t>e9878efe-0abb-4f54-a2eb-0f9b6ef498f1</t>
  </si>
  <si>
    <t>https://www.expensify.com/report?reportID=R00TTBItgcHZ</t>
  </si>
  <si>
    <t>Back to School Night Supplies (Bounce House)</t>
  </si>
  <si>
    <t>d085b805-0ff8-414b-b637-b0737d4120b9</t>
  </si>
  <si>
    <t>Domino's 1607</t>
  </si>
  <si>
    <t>https://www.expensify.com/report?reportID=R00Aj48pMmPj</t>
  </si>
  <si>
    <t>Back to School Night Staff Dinner</t>
  </si>
  <si>
    <t>d643cde2-68bc-4ec6-a0ec-7bd78a93b5dd</t>
  </si>
  <si>
    <t>https://www.expensify.com/report?reportID=R00R2RrxXrnl</t>
  </si>
  <si>
    <t>8th Grade History Supplies</t>
  </si>
  <si>
    <t>86515ab4-452a-4da1-9261-787b2ae3a39d</t>
  </si>
  <si>
    <t>https://www.expensify.com/report?reportID=R001hE9HcUXU</t>
  </si>
  <si>
    <t>M. Baumgart</t>
  </si>
  <si>
    <t>446a5865-32dc-4665-8914-94f669259b15</t>
  </si>
  <si>
    <t>Grand Grill Meat Marke</t>
  </si>
  <si>
    <t>https://www.expensify.com/report?reportID=R00SN2qxrctq</t>
  </si>
  <si>
    <t>Staff Celebration Baby Shower</t>
  </si>
  <si>
    <t>f2303527-b9b9-46ff-97c5-e62f33e0d537</t>
  </si>
  <si>
    <t>Panera Bread #601228 O</t>
  </si>
  <si>
    <t>https://www.expensify.com/report?reportID=R00A3GNBc6nE</t>
  </si>
  <si>
    <t>Leadership Team Lunch FWOS</t>
  </si>
  <si>
    <t>c9d41058-c0e7-426d-88da-fe4116be0052</t>
  </si>
  <si>
    <t>Lowe's #764</t>
  </si>
  <si>
    <t>Kayla</t>
  </si>
  <si>
    <t>Reyes</t>
  </si>
  <si>
    <t>kayla.reyes@kairosacademies.org</t>
  </si>
  <si>
    <t>Expense Report #R00WbgGvBuZB</t>
  </si>
  <si>
    <t>https://www.expensify.com/report?reportID=R00WbgGvBuZB</t>
  </si>
  <si>
    <t>Painting and patching building</t>
  </si>
  <si>
    <t>c1a847c1-5b7d-4f37-9336-cc9686aac686</t>
  </si>
  <si>
    <t>Expense Report #R00S4gEolEHC</t>
  </si>
  <si>
    <t>https://www.expensify.com/report?reportID=R00S4gEolEHC</t>
  </si>
  <si>
    <t>Wet vaccum for high heat school sanitation and items for staff lounge</t>
  </si>
  <si>
    <t>68046d46-d423-4d98-ad6b-579fdb8fd55f</t>
  </si>
  <si>
    <t>Shelving for Staff break room</t>
  </si>
  <si>
    <t>4b5bd997-c816-44e0-a767-0233e2ad261f</t>
  </si>
  <si>
    <t>Kendrah Underwood</t>
  </si>
  <si>
    <t>Underwood</t>
  </si>
  <si>
    <t>Underwood August 2023</t>
  </si>
  <si>
    <t>https://www.expensify.com/report?reportID=R002QRpemDbx</t>
  </si>
  <si>
    <t>Portable monitors for working offsite</t>
  </si>
  <si>
    <t>e97fbebd-e35d-430f-b717-8792e6e415f7</t>
  </si>
  <si>
    <t>Tst* Chez Ali</t>
  </si>
  <si>
    <t>Working lunch to discuss BOY PD schedule and calendar</t>
  </si>
  <si>
    <t>3905e65f-8dd5-440c-b507-51c17943d144</t>
  </si>
  <si>
    <t>Retreat Gastropub</t>
  </si>
  <si>
    <t>BOY Principal Dinner</t>
  </si>
  <si>
    <t>58e90366-2a78-4aeb-b38b-e6cba988123f</t>
  </si>
  <si>
    <t>Dollar General #19179</t>
  </si>
  <si>
    <t>Picture Frames for Convocation</t>
  </si>
  <si>
    <t>a7c4548d-d243-4781-8250-312c2ebc2cc5</t>
  </si>
  <si>
    <t>Dollar General #11999</t>
  </si>
  <si>
    <t>Picture Frames for Convocation Awards</t>
  </si>
  <si>
    <t>58127bfa-99af-4d21-97d5-141a149e6565</t>
  </si>
  <si>
    <t>Wal-mart #1265</t>
  </si>
  <si>
    <t>Document frames for Convocation awards</t>
  </si>
  <si>
    <t>136d93f3-9450-4119-9e9f-91a4efcc70f0</t>
  </si>
  <si>
    <t>The Home Depot #3011</t>
  </si>
  <si>
    <t>https://www.expensify.com/report?reportID=R00HJD3sJYyb</t>
  </si>
  <si>
    <t>Keys for Network School Team Office</t>
  </si>
  <si>
    <t>a1e10229-0170-48a2-9589-186ebdadcc84</t>
  </si>
  <si>
    <t>Officemax/depot 6254</t>
  </si>
  <si>
    <t>Expense Report #R00C1jeQFGB8</t>
  </si>
  <si>
    <t>https://www.expensify.com/report?reportID=R00C1jeQFGB8</t>
  </si>
  <si>
    <t>5379850d-e4c3-443b-9741-2d8e38a3d4a6</t>
  </si>
  <si>
    <t>2aa1dd4b-f1d0-42e1-bae7-2ae7de366e09</t>
  </si>
  <si>
    <t>Www.rightinbox.com</t>
  </si>
  <si>
    <t>https://www.expensify.com/report?reportID=R00LtOO3fYCx</t>
  </si>
  <si>
    <t>Email Management System</t>
  </si>
  <si>
    <t>97974b5f-93af-4053-bc8d-cf2728015df6</t>
  </si>
  <si>
    <t>Vendor Name</t>
  </si>
  <si>
    <t>Invoice #</t>
  </si>
  <si>
    <t>Due Date</t>
  </si>
  <si>
    <t>Amount (USD)</t>
  </si>
  <si>
    <t>Process Date</t>
  </si>
  <si>
    <t>360 Quality Care Transport Services</t>
  </si>
  <si>
    <t>Hayley Morgan</t>
  </si>
  <si>
    <t>K12 Funds</t>
  </si>
  <si>
    <t>230402-002</t>
  </si>
  <si>
    <t>Meramec Builders Inc</t>
  </si>
  <si>
    <t>Mr. Handyman</t>
  </si>
  <si>
    <t>National Charter Schools Conference</t>
  </si>
  <si>
    <t>Sign Depot Atx Llc</t>
  </si>
  <si>
    <t>Tableau</t>
  </si>
  <si>
    <t>Q-07437938</t>
  </si>
  <si>
    <t>Tech Electronics</t>
  </si>
  <si>
    <t>N000221402</t>
  </si>
  <si>
    <t>Verdant Edu LLC</t>
  </si>
  <si>
    <t>Margaritaville Lake Resort- Lake of the</t>
  </si>
  <si>
    <t>M17224</t>
  </si>
  <si>
    <t>The Hartford</t>
  </si>
  <si>
    <t>The Holdsworth Center-Campus On Lake</t>
  </si>
  <si>
    <t>Sally Lemkemeier</t>
  </si>
  <si>
    <t>Color Art</t>
  </si>
  <si>
    <t>DeansList, Inc.</t>
  </si>
  <si>
    <t>Gadell Net Consulting Services, Inc.</t>
  </si>
  <si>
    <t>CW131084</t>
  </si>
  <si>
    <t>CW130407</t>
  </si>
  <si>
    <t>Gama Consulting</t>
  </si>
  <si>
    <t>KJ Consulting Group, LLC</t>
  </si>
  <si>
    <t>Mango Strategies LLC</t>
  </si>
  <si>
    <t>Public School Retirement System</t>
  </si>
  <si>
    <t>Rosenblum Goldenhersh</t>
  </si>
  <si>
    <t>RSC - BBP Admin</t>
  </si>
  <si>
    <t>SchoolMint, Inc</t>
  </si>
  <si>
    <t>INV-11255</t>
  </si>
  <si>
    <t>Sci Engineering Inc.</t>
  </si>
  <si>
    <t>Brandon Evans</t>
  </si>
  <si>
    <t>Concordia Publishing House</t>
  </si>
  <si>
    <t>INVSR01002508</t>
  </si>
  <si>
    <t>INVSR01002509</t>
  </si>
  <si>
    <t>His Kingdom Carriers Llc</t>
  </si>
  <si>
    <t>Honesty Staggs</t>
  </si>
  <si>
    <t>Miriam</t>
  </si>
  <si>
    <t>Steadfast City Economic Community</t>
  </si>
  <si>
    <t>SumnerOne</t>
  </si>
  <si>
    <t>Travonna Hunter</t>
  </si>
  <si>
    <t>Vashaunta Harris Vharrisvharrisenterprises.</t>
  </si>
  <si>
    <t>1t</t>
  </si>
  <si>
    <t>Westin Hotels and Resorts</t>
  </si>
  <si>
    <t>GHA Technologies, Inc.</t>
  </si>
  <si>
    <t>Maxim Healthcare Staffing Services Inc.</t>
  </si>
  <si>
    <t>E10408940285</t>
  </si>
  <si>
    <t>MSHAA</t>
  </si>
  <si>
    <t>24-W01042</t>
  </si>
  <si>
    <t>24-W01126</t>
  </si>
  <si>
    <t>Project Lead The Way</t>
  </si>
  <si>
    <t>271510-July</t>
  </si>
  <si>
    <t>Shands Elbert Gianoulakis Giljum Llp</t>
  </si>
  <si>
    <t>Staples</t>
  </si>
  <si>
    <t>Teaming Solutions</t>
  </si>
  <si>
    <t>Think Forward LLC</t>
  </si>
  <si>
    <t>Accord Building Services</t>
  </si>
  <si>
    <t>American Dining Creation/KC Commissary</t>
  </si>
  <si>
    <t>Julie Poluszejko</t>
  </si>
  <si>
    <t>Missouri Charter Public School Association</t>
  </si>
  <si>
    <t>Missouri Department of Natural Resources</t>
  </si>
  <si>
    <t>Orian Bradford Jr.</t>
  </si>
  <si>
    <t>Total Paid</t>
  </si>
  <si>
    <r>
      <rPr>
        <rFont val="Arial"/>
        <b/>
        <color rgb="FF000000"/>
        <sz val="14.0"/>
        <u/>
      </rPr>
      <t>Bill.com</t>
    </r>
    <r>
      <rPr>
        <rFont val="Arial"/>
        <b/>
        <sz val="14.0"/>
      </rPr>
      <t xml:space="preserve"> &amp; Intacct- Unpaid Invoices</t>
    </r>
  </si>
  <si>
    <t>Aging</t>
  </si>
  <si>
    <t>Open Balance</t>
  </si>
  <si>
    <t>City Wide Facility Solutions of St. Louis</t>
  </si>
  <si>
    <t>Daniel &amp; Henry</t>
  </si>
  <si>
    <t>Level Field Charter Partners LLC</t>
  </si>
  <si>
    <t>Washington University</t>
  </si>
  <si>
    <t>Data Recognition Corporation</t>
  </si>
  <si>
    <t>Raptor Technologies</t>
  </si>
  <si>
    <t>IFM Community Medicine</t>
  </si>
  <si>
    <t>Enhanced</t>
  </si>
  <si>
    <t>INV-000003</t>
  </si>
  <si>
    <t>EST001</t>
  </si>
  <si>
    <t>Grainger</t>
  </si>
  <si>
    <t>LDR AdmServices</t>
  </si>
  <si>
    <t>T. Hunter</t>
  </si>
  <si>
    <t>003</t>
  </si>
  <si>
    <t>Total Unpaid</t>
  </si>
  <si>
    <t xml:space="preserve">NOTE:  Since Kairos was transitioning from BILL to Intacct as of 9/1, this may not be a complete list of outstanding items as of 8/31.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</si>
</sst>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3">
    <numFmt numFmtId="164" formatCode="mmmm d, yyyy"/>
    <numFmt numFmtId="165" formatCode="&quot;$&quot;#,##0"/>
    <numFmt numFmtId="166" formatCode="&quot;$&quot;#,##0.00"/>
    <numFmt numFmtId="167" formatCode="   $#,###;-$#,###;;@"/>
    <numFmt numFmtId="168" formatCode="$#,###;-$#,###;;@"/>
    <numFmt numFmtId="169" formatCode="m/d/yyyy"/>
    <numFmt numFmtId="170" formatCode="mmm yyyy"/>
    <numFmt numFmtId="171" formatCode="#,##0.00\ _€"/>
    <numFmt numFmtId="172" formatCode="&quot;$&quot;* #,##0.00\ _€"/>
    <numFmt numFmtId="173" formatCode="M/d/yyyy"/>
    <numFmt numFmtId="174" formatCode="mmmm\ yyyy"/>
    <numFmt numFmtId="175" formatCode="_(* #,##0.00_);_(* \(#,##0.00\);_(* &quot;-&quot;??_);_(@_)"/>
    <numFmt numFmtId="176" formatCode="m/d/yy"/>
    <numFmt numFmtId="177" formatCode="mmmm yyyy"/>
    <numFmt numFmtId="178" formatCode="_(&quot;$&quot;* #,##0.00_);_(&quot;$&quot;* \(#,##0.00\);_(&quot;$&quot;* &quot;-&quot;??_);_(@_)"/>
    <numFmt numFmtId="179" formatCode="mm/dd/yyyy"/>
    <numFmt numFmtId="180" formatCode="0.0"/>
    <numFmt numFmtId="181" formatCode="0.0%"/>
    <numFmt numFmtId="182" formatCode="#,##0.00;(#,##0.00)"/>
    <numFmt numFmtId="183" formatCode="mm/dd/yy"/>
    <numFmt numFmtId="184" formatCode="&quot;$&quot;#,##0.0000"/>
    <numFmt numFmtId="185" formatCode="m/d/yyyy h:mm"/>
    <numFmt numFmtId="186" formatCode="mmm-d"/>
  </numFmts>
  <fonts count="72">
    <font>
      <sz val="10.0"/>
      <color rgb="FF000000"/>
      <name val="Arial"/>
      <scheme val="minor"/>
    </font>
    <font>
      <color theme="1"/>
      <name val="Arial"/>
      <scheme val="minor"/>
    </font>
    <font>
      <b/>
      <sz val="16.0"/>
      <color rgb="FF12293C"/>
      <name val="Montserrat"/>
    </font>
    <font>
      <b/>
      <color rgb="FF12293C"/>
      <name val="Montserrat"/>
    </font>
    <font>
      <color theme="1"/>
      <name val="Montserrat"/>
    </font>
    <font>
      <sz val="16.0"/>
      <color theme="1"/>
      <name val="Arial"/>
      <scheme val="minor"/>
    </font>
    <font>
      <b/>
      <sz val="16.0"/>
      <color theme="0"/>
      <name val="Montserrat"/>
    </font>
    <font>
      <b/>
      <color theme="1"/>
      <name val="Montserrat"/>
    </font>
    <font>
      <b/>
      <color theme="1"/>
      <name val="Arial"/>
      <scheme val="minor"/>
    </font>
    <font>
      <color rgb="FF12293C"/>
      <name val="Roboto"/>
    </font>
    <font>
      <b/>
      <sz val="10.0"/>
      <color theme="1"/>
      <name val="Montserrat"/>
    </font>
    <font>
      <b/>
      <sz val="16.0"/>
      <color rgb="FFFFFFFF"/>
      <name val="Montserrat"/>
    </font>
    <font>
      <b/>
      <sz val="16.0"/>
      <color theme="1"/>
      <name val="Arial"/>
      <scheme val="minor"/>
    </font>
    <font>
      <color theme="1"/>
      <name val="Roboto"/>
    </font>
    <font>
      <b/>
      <color theme="1"/>
      <name val="Roboto"/>
    </font>
    <font>
      <b/>
      <sz val="14.0"/>
      <color rgb="FF000000"/>
      <name val="Arial"/>
    </font>
    <font>
      <b/>
      <sz val="10.0"/>
      <color rgb="FF000000"/>
      <name val="Arial"/>
    </font>
    <font>
      <sz val="11.0"/>
      <color rgb="FF000000"/>
      <name val="Calibri"/>
    </font>
    <font>
      <b/>
      <sz val="9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b/>
      <sz val="12.0"/>
      <color theme="1"/>
      <name val="Arial"/>
    </font>
    <font>
      <sz val="12.0"/>
      <color theme="1"/>
      <name val="Arial"/>
      <scheme val="minor"/>
    </font>
    <font>
      <sz val="12.0"/>
      <color theme="1"/>
      <name val="Arial"/>
    </font>
    <font>
      <sz val="12.0"/>
      <color theme="1"/>
      <name val="Calibri"/>
    </font>
    <font>
      <b/>
      <sz val="12.0"/>
      <color rgb="FF000000"/>
      <name val="Arial"/>
    </font>
    <font>
      <sz val="12.0"/>
      <color rgb="FF000000"/>
      <name val="Arial"/>
    </font>
    <font>
      <sz val="12.0"/>
      <color theme="0"/>
      <name val="Arial"/>
      <scheme val="minor"/>
    </font>
    <font>
      <sz val="12.0"/>
      <color theme="1"/>
      <name val="Tahoma"/>
    </font>
    <font>
      <b/>
      <sz val="12.0"/>
      <color theme="5"/>
      <name val="Arial"/>
      <scheme val="minor"/>
    </font>
    <font>
      <sz val="12.0"/>
      <color rgb="FFB7B7B7"/>
      <name val="Arial"/>
    </font>
    <font>
      <sz val="12.0"/>
      <color theme="1"/>
      <name val="Titillium Web"/>
    </font>
    <font>
      <sz val="12.0"/>
      <color rgb="FFFFFFFF"/>
      <name val="Arial"/>
    </font>
    <font/>
    <font>
      <sz val="12.0"/>
      <color theme="0"/>
      <name val="Arial"/>
    </font>
    <font>
      <b/>
      <sz val="12.0"/>
      <color theme="5"/>
      <name val="Arial"/>
    </font>
    <font>
      <sz val="11.0"/>
      <color theme="1"/>
      <name val="Calibri"/>
    </font>
    <font>
      <b/>
      <sz val="9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>
      <b/>
      <u/>
      <sz val="8.0"/>
      <color rgb="FF0000FF"/>
      <name val="Arial"/>
    </font>
    <font>
      <color theme="1"/>
      <name val="Arial"/>
    </font>
    <font>
      <u/>
      <sz val="8.0"/>
      <color rgb="FF0000FF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u/>
      <sz val="11.0"/>
      <color rgb="FF1155CC"/>
      <name val="Calibri"/>
    </font>
    <font>
      <u/>
      <sz val="11.0"/>
      <color rgb="FF1155CC"/>
      <name val="Calibri"/>
    </font>
    <font>
      <sz val="11.0"/>
      <color rgb="FFFF0000"/>
      <name val="Calibri"/>
    </font>
    <font>
      <b/>
      <color rgb="FFFFFFFF"/>
      <name val="&quot;Titillium Web&quot;"/>
    </font>
    <font>
      <b/>
      <color rgb="FFFFFFFF"/>
      <name val="Titillium Web"/>
    </font>
    <font>
      <color theme="1"/>
      <name val="Titillium Web"/>
    </font>
    <font>
      <b/>
      <color theme="1"/>
      <name val="&quot;Titillium Web&quot;"/>
    </font>
    <font>
      <b/>
      <color theme="5"/>
      <name val="&quot;Titillium Web&quot;"/>
    </font>
    <font>
      <color theme="1"/>
      <name val="&quot;Titillium Web&quot;"/>
    </font>
    <font>
      <b/>
      <sz val="8.0"/>
      <color rgb="FFEA4335"/>
      <name val="Verdana"/>
    </font>
    <font>
      <sz val="8.0"/>
      <color theme="1"/>
      <name val="Verdana"/>
    </font>
    <font>
      <b/>
      <color theme="1"/>
      <name val="Arial"/>
    </font>
    <font>
      <b/>
      <color theme="1"/>
      <name val="Titillium Web"/>
    </font>
    <font>
      <sz val="8.0"/>
      <color rgb="FF000000"/>
      <name val="Verdana"/>
    </font>
    <font>
      <i/>
      <color rgb="FFEA4335"/>
      <name val="Titillium Web"/>
    </font>
    <font>
      <color rgb="FFEA4335"/>
      <name val="Titillium Web"/>
    </font>
    <font>
      <b/>
      <sz val="11.0"/>
      <color theme="1"/>
      <name val="Tahoma"/>
    </font>
    <font>
      <sz val="8.0"/>
      <color theme="1"/>
      <name val="Tahoma"/>
    </font>
    <font>
      <b/>
      <sz val="8.0"/>
      <color theme="1"/>
      <name val="Tahoma"/>
    </font>
    <font>
      <color rgb="FF000000"/>
      <name val="Arial"/>
    </font>
    <font>
      <b/>
      <sz val="8.0"/>
      <color rgb="FF000000"/>
      <name val="Tahoma"/>
    </font>
    <font>
      <sz val="8.0"/>
      <color rgb="FF000000"/>
      <name val="Tahoma"/>
    </font>
    <font>
      <sz val="11.0"/>
      <color rgb="FF1155CC"/>
      <name val="Inconsolata"/>
    </font>
    <font>
      <u/>
      <sz val="11.0"/>
      <color rgb="FF0000FF"/>
      <name val="Calibri"/>
    </font>
    <font>
      <b/>
      <sz val="14.0"/>
      <color theme="1"/>
      <name val="Arial"/>
    </font>
    <font>
      <b/>
      <u/>
      <sz val="14.0"/>
      <color rgb="FF0000FF"/>
      <name val="Arial"/>
    </font>
    <font>
      <b/>
      <sz val="10.0"/>
      <color theme="1"/>
      <name val="Arial"/>
    </font>
  </fonts>
  <fills count="32">
    <fill>
      <patternFill patternType="none"/>
    </fill>
    <fill>
      <patternFill patternType="lightGray"/>
    </fill>
    <fill>
      <patternFill patternType="solid">
        <fgColor rgb="FFF7F5F0"/>
        <bgColor rgb="FFF7F5F0"/>
      </patternFill>
    </fill>
    <fill>
      <patternFill patternType="solid">
        <fgColor rgb="FF46B978"/>
        <bgColor rgb="FF46B978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rgb="FFFFF2CC"/>
        <bgColor rgb="FFFFF2CC"/>
      </patternFill>
    </fill>
    <fill>
      <patternFill patternType="solid">
        <fgColor rgb="FF4285F4"/>
        <bgColor rgb="FF4285F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rgb="FFE6B8AF"/>
        <bgColor rgb="FFE6B8AF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  <fill>
      <patternFill patternType="solid">
        <fgColor theme="7"/>
        <bgColor theme="7"/>
      </patternFill>
    </fill>
    <fill>
      <patternFill patternType="solid">
        <fgColor rgb="FFFF00FF"/>
        <bgColor rgb="FFFF00FF"/>
      </patternFill>
    </fill>
    <fill>
      <patternFill patternType="solid">
        <fgColor rgb="FF4A86E8"/>
        <bgColor rgb="FF4A86E8"/>
      </patternFill>
    </fill>
    <fill>
      <patternFill patternType="solid">
        <fgColor theme="9"/>
        <bgColor theme="9"/>
      </patternFill>
    </fill>
    <fill>
      <patternFill patternType="solid">
        <fgColor rgb="FF12293C"/>
        <bgColor rgb="FF12293C"/>
      </patternFill>
    </fill>
    <fill>
      <patternFill patternType="solid">
        <fgColor theme="4"/>
        <bgColor theme="4"/>
      </patternFill>
    </fill>
    <fill>
      <patternFill patternType="solid">
        <fgColor rgb="FFEFEFEF"/>
        <bgColor rgb="FFEFEFEF"/>
      </patternFill>
    </fill>
    <fill>
      <patternFill patternType="solid">
        <fgColor rgb="FFE5EFFF"/>
        <bgColor rgb="FFE5EFFF"/>
      </patternFill>
    </fill>
    <fill>
      <patternFill patternType="solid">
        <fgColor rgb="FFCCCCCC"/>
        <bgColor rgb="FFCCCCCC"/>
      </patternFill>
    </fill>
  </fills>
  <borders count="15">
    <border/>
    <border>
      <bottom style="thin">
        <color rgb="FF12293C"/>
      </bottom>
    </border>
    <border>
      <top style="dotted">
        <color rgb="FF12293C"/>
      </top>
    </border>
    <border>
      <bottom style="thin">
        <color rgb="FF000000"/>
      </bottom>
    </border>
    <border>
      <top style="thin">
        <color rgb="FF12293C"/>
      </top>
    </border>
    <border>
      <top style="thin">
        <color rgb="FF000000"/>
      </top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right/>
    </border>
  </borders>
  <cellStyleXfs count="1">
    <xf borderId="0" fillId="0" fontId="0" numFmtId="0" applyAlignment="1" applyFont="1"/>
  </cellStyleXfs>
  <cellXfs count="59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right" readingOrder="0"/>
    </xf>
    <xf borderId="0" fillId="2" fontId="3" numFmtId="164" xfId="0" applyAlignment="1" applyFont="1" applyNumberFormat="1">
      <alignment horizontal="right" readingOrder="0" shrinkToFit="0" wrapText="0"/>
    </xf>
    <xf borderId="0" fillId="2" fontId="4" numFmtId="164" xfId="0" applyAlignment="1" applyFont="1" applyNumberFormat="1">
      <alignment horizontal="right" readingOrder="0" shrinkToFit="0" wrapText="0"/>
    </xf>
    <xf borderId="0" fillId="2" fontId="5" numFmtId="0" xfId="0" applyFont="1"/>
    <xf borderId="0" fillId="3" fontId="6" numFmtId="0" xfId="0" applyAlignment="1" applyFill="1" applyFont="1">
      <alignment readingOrder="0"/>
    </xf>
    <xf borderId="1" fillId="2" fontId="3" numFmtId="0" xfId="0" applyAlignment="1" applyBorder="1" applyFont="1">
      <alignment readingOrder="0"/>
    </xf>
    <xf borderId="1" fillId="2" fontId="7" numFmtId="0" xfId="0" applyAlignment="1" applyBorder="1" applyFont="1">
      <alignment readingOrder="0"/>
    </xf>
    <xf borderId="0" fillId="2" fontId="8" numFmtId="0" xfId="0" applyFont="1"/>
    <xf borderId="0" fillId="2" fontId="9" numFmtId="0" xfId="0" applyFont="1"/>
    <xf borderId="0" fillId="2" fontId="9" numFmtId="0" xfId="0" applyAlignment="1" applyFont="1">
      <alignment readingOrder="0"/>
    </xf>
    <xf borderId="2" fillId="2" fontId="9" numFmtId="0" xfId="0" applyBorder="1" applyFont="1"/>
    <xf borderId="2" fillId="2" fontId="9" numFmtId="0" xfId="0" applyAlignment="1" applyBorder="1" applyFont="1">
      <alignment readingOrder="0"/>
    </xf>
    <xf borderId="0" fillId="2" fontId="4" numFmtId="0" xfId="0" applyFont="1"/>
    <xf borderId="3" fillId="2" fontId="10" numFmtId="0" xfId="0" applyAlignment="1" applyBorder="1" applyFont="1">
      <alignment readingOrder="0"/>
    </xf>
    <xf borderId="3" fillId="2" fontId="1" numFmtId="0" xfId="0" applyBorder="1" applyFont="1"/>
    <xf borderId="0" fillId="2" fontId="8" numFmtId="0" xfId="0" applyAlignment="1" applyFont="1">
      <alignment readingOrder="0"/>
    </xf>
    <xf borderId="0" fillId="4" fontId="11" numFmtId="0" xfId="0" applyAlignment="1" applyFill="1" applyFont="1">
      <alignment readingOrder="0"/>
    </xf>
    <xf borderId="0" fillId="2" fontId="12" numFmtId="0" xfId="0" applyAlignment="1" applyFont="1">
      <alignment readingOrder="0"/>
    </xf>
    <xf borderId="0" fillId="2" fontId="7" numFmtId="0" xfId="0" applyAlignment="1" applyFont="1">
      <alignment readingOrder="0"/>
    </xf>
    <xf borderId="4" fillId="2" fontId="13" numFmtId="0" xfId="0" applyAlignment="1" applyBorder="1" applyFont="1">
      <alignment horizontal="left"/>
    </xf>
    <xf borderId="4" fillId="2" fontId="13" numFmtId="0" xfId="0" applyAlignment="1" applyBorder="1" applyFont="1">
      <alignment readingOrder="0"/>
    </xf>
    <xf borderId="4" fillId="2" fontId="13" numFmtId="0" xfId="0" applyBorder="1" applyFont="1"/>
    <xf borderId="0" fillId="2" fontId="13" numFmtId="0" xfId="0" applyFont="1"/>
    <xf borderId="0" fillId="2" fontId="13" numFmtId="0" xfId="0" applyAlignment="1" applyFont="1">
      <alignment readingOrder="0"/>
    </xf>
    <xf borderId="0" fillId="2" fontId="13" numFmtId="10" xfId="0" applyAlignment="1" applyFont="1" applyNumberFormat="1">
      <alignment horizontal="left"/>
    </xf>
    <xf borderId="2" fillId="2" fontId="13" numFmtId="0" xfId="0" applyAlignment="1" applyBorder="1" applyFont="1">
      <alignment horizontal="left"/>
    </xf>
    <xf borderId="2" fillId="2" fontId="13" numFmtId="0" xfId="0" applyAlignment="1" applyBorder="1" applyFont="1">
      <alignment readingOrder="0"/>
    </xf>
    <xf borderId="2" fillId="2" fontId="13" numFmtId="0" xfId="0" applyBorder="1" applyFont="1"/>
    <xf borderId="0" fillId="2" fontId="10" numFmtId="0" xfId="0" applyAlignment="1" applyFont="1">
      <alignment readingOrder="0"/>
    </xf>
    <xf borderId="1" fillId="2" fontId="10" numFmtId="0" xfId="0" applyAlignment="1" applyBorder="1" applyFont="1">
      <alignment readingOrder="0"/>
    </xf>
    <xf borderId="1" fillId="2" fontId="1" numFmtId="0" xfId="0" applyBorder="1" applyFont="1"/>
    <xf borderId="0" fillId="5" fontId="11" numFmtId="0" xfId="0" applyAlignment="1" applyFill="1" applyFont="1">
      <alignment readingOrder="0"/>
    </xf>
    <xf borderId="0" fillId="3" fontId="11" numFmtId="0" xfId="0" applyAlignment="1" applyFont="1">
      <alignment readingOrder="0"/>
    </xf>
    <xf borderId="0" fillId="2" fontId="13" numFmtId="165" xfId="0" applyFont="1" applyNumberFormat="1"/>
    <xf borderId="0" fillId="2" fontId="13" numFmtId="165" xfId="0" applyAlignment="1" applyFont="1" applyNumberFormat="1">
      <alignment readingOrder="0"/>
    </xf>
    <xf borderId="2" fillId="2" fontId="14" numFmtId="1" xfId="0" applyBorder="1" applyFont="1" applyNumberFormat="1"/>
    <xf borderId="0" fillId="2" fontId="1" numFmtId="0" xfId="0" applyAlignment="1" applyFont="1">
      <alignment readingOrder="0"/>
    </xf>
    <xf borderId="0" fillId="0" fontId="1" numFmtId="0" xfId="0" applyFont="1"/>
    <xf borderId="0" fillId="0" fontId="1" numFmtId="167" xfId="0" applyFont="1" applyNumberFormat="1"/>
    <xf borderId="0" fillId="0" fontId="1" numFmtId="0" xfId="0" applyAlignment="1" applyFont="1">
      <alignment readingOrder="0"/>
    </xf>
    <xf borderId="0" fillId="0" fontId="1" numFmtId="165" xfId="0" applyFont="1" applyNumberFormat="1"/>
    <xf borderId="0" fillId="0" fontId="1" numFmtId="0" xfId="0" applyAlignment="1" applyFont="1">
      <alignment horizontal="left" readingOrder="0"/>
    </xf>
    <xf borderId="0" fillId="0" fontId="8" numFmtId="0" xfId="0" applyFont="1"/>
    <xf borderId="0" fillId="0" fontId="1" numFmtId="167" xfId="0" applyAlignment="1" applyFont="1" applyNumberFormat="1">
      <alignment horizontal="left"/>
    </xf>
    <xf borderId="0" fillId="0" fontId="1" numFmtId="165" xfId="0" applyAlignment="1" applyFont="1" applyNumberFormat="1">
      <alignment horizontal="left"/>
    </xf>
    <xf borderId="5" fillId="0" fontId="1" numFmtId="0" xfId="0" applyBorder="1" applyFont="1"/>
    <xf borderId="0" fillId="0" fontId="1" numFmtId="0" xfId="0" applyAlignment="1" applyFont="1">
      <alignment horizontal="left"/>
    </xf>
    <xf borderId="0" fillId="0" fontId="1" numFmtId="168" xfId="0" applyFont="1" applyNumberFormat="1"/>
    <xf borderId="5" fillId="2" fontId="13" numFmtId="0" xfId="0" applyAlignment="1" applyBorder="1" applyFont="1">
      <alignment horizontal="left"/>
    </xf>
    <xf borderId="5" fillId="2" fontId="13" numFmtId="0" xfId="0" applyAlignment="1" applyBorder="1" applyFont="1">
      <alignment readingOrder="0"/>
    </xf>
    <xf borderId="5" fillId="2" fontId="13" numFmtId="0" xfId="0" applyBorder="1" applyFont="1"/>
    <xf borderId="0" fillId="0" fontId="1" numFmtId="166" xfId="0" applyFont="1" applyNumberFormat="1"/>
    <xf borderId="0" fillId="0" fontId="1" numFmtId="165" xfId="0" applyAlignment="1" applyFont="1" applyNumberFormat="1">
      <alignment horizontal="left" readingOrder="0"/>
    </xf>
    <xf borderId="0" fillId="0" fontId="1" numFmtId="165" xfId="0" applyAlignment="1" applyFont="1" applyNumberFormat="1">
      <alignment readingOrder="0"/>
    </xf>
    <xf borderId="0" fillId="0" fontId="1" numFmtId="1" xfId="0" applyFont="1" applyNumberFormat="1"/>
    <xf borderId="0" fillId="0" fontId="8" numFmtId="0" xfId="0" applyAlignment="1" applyFont="1">
      <alignment readingOrder="0"/>
    </xf>
    <xf borderId="0" fillId="0" fontId="8" numFmtId="169" xfId="0" applyAlignment="1" applyFont="1" applyNumberFormat="1">
      <alignment horizontal="left" readingOrder="0"/>
    </xf>
    <xf borderId="0" fillId="0" fontId="1" numFmtId="0" xfId="0" applyAlignment="1" applyFont="1">
      <alignment readingOrder="0"/>
    </xf>
    <xf borderId="0" fillId="0" fontId="1" numFmtId="166" xfId="0" applyAlignment="1" applyFont="1" applyNumberFormat="1">
      <alignment horizontal="left"/>
    </xf>
    <xf borderId="0" fillId="0" fontId="1" numFmtId="0" xfId="0" applyFont="1"/>
    <xf borderId="0" fillId="0" fontId="15" numFmtId="0" xfId="0" applyAlignment="1" applyFont="1">
      <alignment horizontal="center" shrinkToFit="0" wrapText="0"/>
    </xf>
    <xf borderId="0" fillId="0" fontId="16" numFmtId="0" xfId="0" applyAlignment="1" applyFont="1">
      <alignment horizontal="center" shrinkToFit="0" wrapText="0"/>
    </xf>
    <xf borderId="0" fillId="0" fontId="16" numFmtId="0" xfId="0" applyAlignment="1" applyFont="1">
      <alignment horizontal="center" readingOrder="0" shrinkToFit="0" wrapText="0"/>
    </xf>
    <xf borderId="0" fillId="0" fontId="17" numFmtId="0" xfId="0" applyAlignment="1" applyFont="1">
      <alignment shrinkToFit="0" wrapText="1"/>
    </xf>
    <xf borderId="3" fillId="0" fontId="18" numFmtId="170" xfId="0" applyAlignment="1" applyBorder="1" applyFont="1" applyNumberFormat="1">
      <alignment horizontal="center" readingOrder="0" shrinkToFit="0" wrapText="1"/>
    </xf>
    <xf borderId="0" fillId="0" fontId="19" numFmtId="0" xfId="0" applyAlignment="1" applyFont="1">
      <alignment horizontal="left" shrinkToFit="0" wrapText="1"/>
    </xf>
    <xf borderId="0" fillId="0" fontId="19" numFmtId="0" xfId="0" applyAlignment="1" applyFont="1">
      <alignment horizontal="left" readingOrder="0" shrinkToFit="0" wrapText="1"/>
    </xf>
    <xf borderId="0" fillId="0" fontId="20" numFmtId="171" xfId="0" applyAlignment="1" applyFont="1" applyNumberFormat="1">
      <alignment shrinkToFit="0" wrapText="1"/>
    </xf>
    <xf borderId="0" fillId="0" fontId="20" numFmtId="171" xfId="0" applyAlignment="1" applyFont="1" applyNumberFormat="1">
      <alignment horizontal="right" shrinkToFit="0" wrapText="1"/>
    </xf>
    <xf borderId="0" fillId="0" fontId="20" numFmtId="171" xfId="0" applyAlignment="1" applyFont="1" applyNumberFormat="1">
      <alignment horizontal="right" readingOrder="0" shrinkToFit="0" wrapText="1"/>
    </xf>
    <xf borderId="5" fillId="0" fontId="19" numFmtId="172" xfId="0" applyAlignment="1" applyBorder="1" applyFont="1" applyNumberFormat="1">
      <alignment horizontal="right" readingOrder="0" shrinkToFit="0" wrapText="1"/>
    </xf>
    <xf borderId="0" fillId="0" fontId="20" numFmtId="171" xfId="0" applyAlignment="1" applyFont="1" applyNumberFormat="1">
      <alignment readingOrder="0" shrinkToFit="0" wrapText="1"/>
    </xf>
    <xf borderId="5" fillId="0" fontId="19" numFmtId="172" xfId="0" applyAlignment="1" applyBorder="1" applyFont="1" applyNumberFormat="1">
      <alignment horizontal="right" shrinkToFit="0" wrapText="1"/>
    </xf>
    <xf borderId="0" fillId="0" fontId="20" numFmtId="0" xfId="0" applyAlignment="1" applyFont="1">
      <alignment horizontal="center" shrinkToFit="0" wrapText="0"/>
    </xf>
    <xf borderId="0" fillId="0" fontId="21" numFmtId="0" xfId="0" applyAlignment="1" applyFont="1">
      <alignment horizontal="center" readingOrder="0" shrinkToFit="0" wrapText="0"/>
    </xf>
    <xf borderId="0" fillId="0" fontId="22" numFmtId="0" xfId="0" applyFont="1"/>
    <xf borderId="0" fillId="0" fontId="22" numFmtId="0" xfId="0" applyAlignment="1" applyFont="1">
      <alignment readingOrder="0"/>
    </xf>
    <xf borderId="0" fillId="0" fontId="22" numFmtId="10" xfId="0" applyFont="1" applyNumberFormat="1"/>
    <xf borderId="0" fillId="0" fontId="22" numFmtId="10" xfId="0" applyAlignment="1" applyFont="1" applyNumberFormat="1">
      <alignment readingOrder="0"/>
    </xf>
    <xf borderId="0" fillId="6" fontId="21" numFmtId="0" xfId="0" applyAlignment="1" applyFill="1" applyFont="1">
      <alignment horizontal="center" readingOrder="0" shrinkToFit="0" wrapText="1"/>
    </xf>
    <xf borderId="0" fillId="7" fontId="21" numFmtId="0" xfId="0" applyAlignment="1" applyFill="1" applyFont="1">
      <alignment horizontal="center" readingOrder="0" shrinkToFit="0" wrapText="1"/>
    </xf>
    <xf borderId="0" fillId="8" fontId="22" numFmtId="0" xfId="0" applyAlignment="1" applyFill="1" applyFont="1">
      <alignment readingOrder="0"/>
    </xf>
    <xf borderId="0" fillId="9" fontId="22" numFmtId="0" xfId="0" applyFill="1" applyFont="1"/>
    <xf borderId="0" fillId="0" fontId="21" numFmtId="0" xfId="0" applyAlignment="1" applyFont="1">
      <alignment horizontal="left" readingOrder="0" shrinkToFit="0" wrapText="1"/>
    </xf>
    <xf borderId="0" fillId="0" fontId="23" numFmtId="10" xfId="0" applyAlignment="1" applyFont="1" applyNumberFormat="1">
      <alignment horizontal="right" readingOrder="0" shrinkToFit="0" wrapText="1"/>
    </xf>
    <xf borderId="0" fillId="0" fontId="23" numFmtId="173" xfId="0" applyAlignment="1" applyFont="1" applyNumberFormat="1">
      <alignment horizontal="center" readingOrder="0" shrinkToFit="0" wrapText="1"/>
    </xf>
    <xf borderId="0" fillId="0" fontId="23" numFmtId="10" xfId="0" applyAlignment="1" applyFont="1" applyNumberFormat="1">
      <alignment horizontal="right" shrinkToFit="0" wrapText="1"/>
    </xf>
    <xf borderId="0" fillId="8" fontId="24" numFmtId="0" xfId="0" applyAlignment="1" applyFont="1">
      <alignment readingOrder="0" shrinkToFit="0" wrapText="1"/>
    </xf>
    <xf borderId="3" fillId="0" fontId="21" numFmtId="0" xfId="0" applyAlignment="1" applyBorder="1" applyFont="1">
      <alignment horizontal="center" shrinkToFit="0" wrapText="1"/>
    </xf>
    <xf borderId="3" fillId="0" fontId="21" numFmtId="0" xfId="0" applyAlignment="1" applyBorder="1" applyFont="1">
      <alignment horizontal="center" readingOrder="0" shrinkToFit="0" wrapText="1"/>
    </xf>
    <xf borderId="3" fillId="0" fontId="21" numFmtId="10" xfId="0" applyAlignment="1" applyBorder="1" applyFont="1" applyNumberFormat="1">
      <alignment horizontal="center" shrinkToFit="0" wrapText="1"/>
    </xf>
    <xf borderId="3" fillId="10" fontId="21" numFmtId="0" xfId="0" applyAlignment="1" applyBorder="1" applyFill="1" applyFont="1">
      <alignment horizontal="center" readingOrder="0" shrinkToFit="0" wrapText="1"/>
    </xf>
    <xf borderId="0" fillId="11" fontId="21" numFmtId="0" xfId="0" applyAlignment="1" applyFill="1" applyFont="1">
      <alignment horizontal="left" shrinkToFit="0" wrapText="1"/>
    </xf>
    <xf borderId="0" fillId="0" fontId="23" numFmtId="171" xfId="0" applyAlignment="1" applyFont="1" applyNumberFormat="1">
      <alignment shrinkToFit="0" wrapText="1"/>
    </xf>
    <xf borderId="0" fillId="0" fontId="23" numFmtId="10" xfId="0" applyAlignment="1" applyFont="1" applyNumberFormat="1">
      <alignment shrinkToFit="0" wrapText="1"/>
    </xf>
    <xf borderId="0" fillId="0" fontId="23" numFmtId="171" xfId="0" applyAlignment="1" applyFont="1" applyNumberFormat="1">
      <alignment horizontal="right" shrinkToFit="0" wrapText="1"/>
    </xf>
    <xf borderId="0" fillId="11" fontId="25" numFmtId="0" xfId="0" applyAlignment="1" applyFont="1">
      <alignment horizontal="left" shrinkToFit="0" wrapText="1"/>
    </xf>
    <xf borderId="0" fillId="0" fontId="26" numFmtId="171" xfId="0" applyAlignment="1" applyFont="1" applyNumberFormat="1">
      <alignment horizontal="right" readingOrder="0" shrinkToFit="0" wrapText="1"/>
    </xf>
    <xf borderId="0" fillId="0" fontId="26" numFmtId="171" xfId="0" applyAlignment="1" applyFont="1" applyNumberFormat="1">
      <alignment shrinkToFit="0" wrapText="1"/>
    </xf>
    <xf borderId="0" fillId="0" fontId="27" numFmtId="0" xfId="0" applyFont="1"/>
    <xf borderId="0" fillId="0" fontId="26" numFmtId="10" xfId="0" applyAlignment="1" applyFont="1" applyNumberFormat="1">
      <alignment horizontal="right" shrinkToFit="0" wrapText="1"/>
    </xf>
    <xf borderId="0" fillId="8" fontId="26" numFmtId="171" xfId="0" applyAlignment="1" applyFont="1" applyNumberFormat="1">
      <alignment horizontal="right" shrinkToFit="0" wrapText="1"/>
    </xf>
    <xf borderId="0" fillId="8" fontId="26" numFmtId="10" xfId="0" applyAlignment="1" applyFont="1" applyNumberFormat="1">
      <alignment horizontal="right" shrinkToFit="0" wrapText="1"/>
    </xf>
    <xf borderId="0" fillId="8" fontId="22" numFmtId="0" xfId="0" applyFont="1"/>
    <xf borderId="0" fillId="0" fontId="26" numFmtId="171" xfId="0" applyAlignment="1" applyFont="1" applyNumberFormat="1">
      <alignment horizontal="right" shrinkToFit="0" wrapText="1"/>
    </xf>
    <xf borderId="5" fillId="0" fontId="25" numFmtId="172" xfId="0" applyAlignment="1" applyBorder="1" applyFont="1" applyNumberFormat="1">
      <alignment horizontal="right" readingOrder="0" shrinkToFit="0" wrapText="1"/>
    </xf>
    <xf borderId="5" fillId="0" fontId="25" numFmtId="172" xfId="0" applyAlignment="1" applyBorder="1" applyFont="1" applyNumberFormat="1">
      <alignment horizontal="right" shrinkToFit="0" wrapText="1"/>
    </xf>
    <xf borderId="5" fillId="12" fontId="25" numFmtId="10" xfId="0" applyAlignment="1" applyBorder="1" applyFill="1" applyFont="1" applyNumberFormat="1">
      <alignment horizontal="right" shrinkToFit="0" wrapText="1"/>
    </xf>
    <xf borderId="5" fillId="8" fontId="25" numFmtId="172" xfId="0" applyAlignment="1" applyBorder="1" applyFont="1" applyNumberFormat="1">
      <alignment horizontal="right" shrinkToFit="0" wrapText="1"/>
    </xf>
    <xf borderId="5" fillId="8" fontId="25" numFmtId="10" xfId="0" applyAlignment="1" applyBorder="1" applyFont="1" applyNumberFormat="1">
      <alignment horizontal="right" shrinkToFit="0" wrapText="1"/>
    </xf>
    <xf borderId="5" fillId="0" fontId="25" numFmtId="10" xfId="0" applyAlignment="1" applyBorder="1" applyFont="1" applyNumberFormat="1">
      <alignment horizontal="right" shrinkToFit="0" wrapText="1"/>
    </xf>
    <xf borderId="0" fillId="0" fontId="26" numFmtId="171" xfId="0" applyAlignment="1" applyFont="1" applyNumberFormat="1">
      <alignment horizontal="right" readingOrder="0" vertical="bottom"/>
    </xf>
    <xf borderId="0" fillId="0" fontId="22" numFmtId="2" xfId="0" applyFont="1" applyNumberFormat="1"/>
    <xf borderId="0" fillId="0" fontId="26" numFmtId="171" xfId="0" applyAlignment="1" applyFont="1" applyNumberFormat="1">
      <alignment readingOrder="0" shrinkToFit="0" wrapText="1"/>
    </xf>
    <xf borderId="0" fillId="11" fontId="25" numFmtId="0" xfId="0" applyAlignment="1" applyFont="1">
      <alignment horizontal="left" readingOrder="0" shrinkToFit="0" wrapText="1"/>
    </xf>
    <xf borderId="5" fillId="10" fontId="25" numFmtId="10" xfId="0" applyAlignment="1" applyBorder="1" applyFont="1" applyNumberFormat="1">
      <alignment horizontal="right" shrinkToFit="0" wrapText="1"/>
    </xf>
    <xf borderId="0" fillId="0" fontId="28" numFmtId="171" xfId="0" applyAlignment="1" applyFont="1" applyNumberFormat="1">
      <alignment horizontal="right" readingOrder="0" shrinkToFit="0" vertical="top" wrapText="0"/>
    </xf>
    <xf borderId="0" fillId="0" fontId="29" numFmtId="0" xfId="0" applyAlignment="1" applyFont="1">
      <alignment readingOrder="0"/>
    </xf>
    <xf borderId="0" fillId="8" fontId="26" numFmtId="171" xfId="0" applyAlignment="1" applyFont="1" applyNumberFormat="1">
      <alignment horizontal="right" readingOrder="0" shrinkToFit="0" wrapText="1"/>
    </xf>
    <xf borderId="5" fillId="13" fontId="25" numFmtId="10" xfId="0" applyAlignment="1" applyBorder="1" applyFill="1" applyFont="1" applyNumberFormat="1">
      <alignment horizontal="right" shrinkToFit="0" wrapText="1"/>
    </xf>
    <xf borderId="0" fillId="0" fontId="22" numFmtId="4" xfId="0" applyFont="1" applyNumberFormat="1"/>
    <xf borderId="0" fillId="0" fontId="25" numFmtId="0" xfId="0" applyAlignment="1" applyFont="1">
      <alignment horizontal="left" shrinkToFit="0" wrapText="1"/>
    </xf>
    <xf borderId="0" fillId="0" fontId="26" numFmtId="10" xfId="0" applyAlignment="1" applyFont="1" applyNumberFormat="1">
      <alignment shrinkToFit="0" wrapText="1"/>
    </xf>
    <xf borderId="0" fillId="8" fontId="26" numFmtId="171" xfId="0" applyAlignment="1" applyFont="1" applyNumberFormat="1">
      <alignment shrinkToFit="0" wrapText="1"/>
    </xf>
    <xf borderId="0" fillId="8" fontId="26" numFmtId="10" xfId="0" applyAlignment="1" applyFont="1" applyNumberFormat="1">
      <alignment shrinkToFit="0" wrapText="1"/>
    </xf>
    <xf borderId="0" fillId="9" fontId="26" numFmtId="171" xfId="0" applyAlignment="1" applyFont="1" applyNumberFormat="1">
      <alignment readingOrder="0" shrinkToFit="0" wrapText="1"/>
    </xf>
    <xf borderId="0" fillId="14" fontId="25" numFmtId="0" xfId="0" applyAlignment="1" applyFill="1" applyFont="1">
      <alignment horizontal="left" shrinkToFit="0" wrapText="1"/>
    </xf>
    <xf borderId="0" fillId="0" fontId="30" numFmtId="171" xfId="0" applyAlignment="1" applyFont="1" applyNumberFormat="1">
      <alignment horizontal="right" readingOrder="0" shrinkToFit="0" wrapText="1"/>
    </xf>
    <xf borderId="0" fillId="0" fontId="30" numFmtId="171" xfId="0" applyAlignment="1" applyFont="1" applyNumberFormat="1">
      <alignment shrinkToFit="0" wrapText="1"/>
    </xf>
    <xf borderId="0" fillId="14" fontId="25" numFmtId="0" xfId="0" applyAlignment="1" applyFont="1">
      <alignment horizontal="left" readingOrder="0" shrinkToFit="0" wrapText="1"/>
    </xf>
    <xf borderId="0" fillId="14" fontId="25" numFmtId="0" xfId="0" applyAlignment="1" applyFont="1">
      <alignment horizontal="left" readingOrder="0" vertical="bottom"/>
    </xf>
    <xf borderId="0" fillId="9" fontId="26" numFmtId="171" xfId="0" applyAlignment="1" applyFont="1" applyNumberFormat="1">
      <alignment horizontal="right" readingOrder="0" shrinkToFit="0" wrapText="1"/>
    </xf>
    <xf borderId="0" fillId="0" fontId="25" numFmtId="172" xfId="0" applyAlignment="1" applyFont="1" applyNumberFormat="1">
      <alignment horizontal="right" shrinkToFit="0" wrapText="1"/>
    </xf>
    <xf borderId="0" fillId="8" fontId="25" numFmtId="172" xfId="0" applyAlignment="1" applyFont="1" applyNumberFormat="1">
      <alignment horizontal="right" shrinkToFit="0" wrapText="1"/>
    </xf>
    <xf borderId="0" fillId="8" fontId="25" numFmtId="10" xfId="0" applyAlignment="1" applyFont="1" applyNumberFormat="1">
      <alignment horizontal="right" shrinkToFit="0" wrapText="1"/>
    </xf>
    <xf borderId="0" fillId="0" fontId="25" numFmtId="10" xfId="0" applyAlignment="1" applyFont="1" applyNumberFormat="1">
      <alignment horizontal="right" shrinkToFit="0" wrapText="1"/>
    </xf>
    <xf borderId="0" fillId="0" fontId="22" numFmtId="171" xfId="0" applyFont="1" applyNumberFormat="1"/>
    <xf borderId="0" fillId="14" fontId="21" numFmtId="0" xfId="0" applyAlignment="1" applyFont="1">
      <alignment shrinkToFit="0" vertical="bottom" wrapText="1"/>
    </xf>
    <xf borderId="0" fillId="9" fontId="23" numFmtId="171" xfId="0" applyAlignment="1" applyFont="1" applyNumberFormat="1">
      <alignment horizontal="right" shrinkToFit="0" vertical="bottom" wrapText="1"/>
    </xf>
    <xf borderId="0" fillId="0" fontId="23" numFmtId="172" xfId="0" applyAlignment="1" applyFont="1" applyNumberFormat="1">
      <alignment vertical="bottom"/>
    </xf>
    <xf borderId="0" fillId="0" fontId="23" numFmtId="171" xfId="0" applyAlignment="1" applyFont="1" applyNumberFormat="1">
      <alignment horizontal="right" shrinkToFit="0" vertical="bottom" wrapText="1"/>
    </xf>
    <xf borderId="0" fillId="0" fontId="23" numFmtId="0" xfId="0" applyAlignment="1" applyFont="1">
      <alignment vertical="bottom"/>
    </xf>
    <xf borderId="0" fillId="0" fontId="23" numFmtId="171" xfId="0" applyAlignment="1" applyFont="1" applyNumberFormat="1">
      <alignment vertical="bottom"/>
    </xf>
    <xf borderId="0" fillId="0" fontId="23" numFmtId="10" xfId="0" applyAlignment="1" applyFont="1" applyNumberFormat="1">
      <alignment vertical="bottom"/>
    </xf>
    <xf borderId="3" fillId="9" fontId="23" numFmtId="172" xfId="0" applyAlignment="1" applyBorder="1" applyFont="1" applyNumberFormat="1">
      <alignment vertical="bottom"/>
    </xf>
    <xf borderId="3" fillId="9" fontId="23" numFmtId="10" xfId="0" applyAlignment="1" applyBorder="1" applyFont="1" applyNumberFormat="1">
      <alignment vertical="bottom"/>
    </xf>
    <xf borderId="0" fillId="9" fontId="23" numFmtId="0" xfId="0" applyAlignment="1" applyFont="1">
      <alignment vertical="bottom"/>
    </xf>
    <xf borderId="3" fillId="0" fontId="23" numFmtId="172" xfId="0" applyAlignment="1" applyBorder="1" applyFont="1" applyNumberFormat="1">
      <alignment vertical="bottom"/>
    </xf>
    <xf borderId="3" fillId="0" fontId="23" numFmtId="10" xfId="0" applyAlignment="1" applyBorder="1" applyFont="1" applyNumberFormat="1">
      <alignment vertical="bottom"/>
    </xf>
    <xf borderId="3" fillId="9" fontId="26" numFmtId="171" xfId="0" applyAlignment="1" applyBorder="1" applyFont="1" applyNumberFormat="1">
      <alignment horizontal="right" readingOrder="0" shrinkToFit="0" wrapText="1"/>
    </xf>
    <xf borderId="3" fillId="0" fontId="25" numFmtId="172" xfId="0" applyAlignment="1" applyBorder="1" applyFont="1" applyNumberFormat="1">
      <alignment horizontal="right" shrinkToFit="0" wrapText="1"/>
    </xf>
    <xf borderId="3" fillId="0" fontId="26" numFmtId="171" xfId="0" applyAlignment="1" applyBorder="1" applyFont="1" applyNumberFormat="1">
      <alignment horizontal="right" readingOrder="0" shrinkToFit="0" wrapText="1"/>
    </xf>
    <xf borderId="3" fillId="0" fontId="25" numFmtId="10" xfId="0" applyAlignment="1" applyBorder="1" applyFont="1" applyNumberFormat="1">
      <alignment horizontal="right" shrinkToFit="0" wrapText="1"/>
    </xf>
    <xf borderId="0" fillId="10" fontId="25" numFmtId="10" xfId="0" applyAlignment="1" applyFont="1" applyNumberFormat="1">
      <alignment horizontal="right" shrinkToFit="0" wrapText="1"/>
    </xf>
    <xf borderId="0" fillId="8" fontId="26" numFmtId="171" xfId="0" applyAlignment="1" applyFont="1" applyNumberFormat="1">
      <alignment readingOrder="0" shrinkToFit="0" wrapText="1"/>
    </xf>
    <xf borderId="0" fillId="0" fontId="25" numFmtId="171" xfId="0" applyAlignment="1" applyFont="1" applyNumberFormat="1">
      <alignment horizontal="right" readingOrder="0" shrinkToFit="0" wrapText="1"/>
    </xf>
    <xf borderId="0" fillId="15" fontId="25" numFmtId="0" xfId="0" applyAlignment="1" applyFill="1" applyFont="1">
      <alignment horizontal="left" shrinkToFit="0" wrapText="1"/>
    </xf>
    <xf borderId="0" fillId="15" fontId="25" numFmtId="0" xfId="0" applyAlignment="1" applyFont="1">
      <alignment horizontal="left" readingOrder="0" shrinkToFit="0" wrapText="1"/>
    </xf>
    <xf borderId="0" fillId="15" fontId="25" numFmtId="0" xfId="0" applyAlignment="1" applyFont="1">
      <alignment horizontal="left" readingOrder="0" vertical="bottom"/>
    </xf>
    <xf borderId="0" fillId="0" fontId="25" numFmtId="172" xfId="0" applyAlignment="1" applyFont="1" applyNumberFormat="1">
      <alignment horizontal="right" readingOrder="0" shrinkToFit="0" wrapText="1"/>
    </xf>
    <xf borderId="0" fillId="0" fontId="26" numFmtId="172" xfId="0" applyAlignment="1" applyFont="1" applyNumberFormat="1">
      <alignment horizontal="right" readingOrder="0" vertical="bottom"/>
    </xf>
    <xf borderId="0" fillId="16" fontId="25" numFmtId="0" xfId="0" applyAlignment="1" applyFill="1" applyFont="1">
      <alignment horizontal="left" shrinkToFit="0" wrapText="1"/>
    </xf>
    <xf borderId="0" fillId="16" fontId="25" numFmtId="0" xfId="0" applyAlignment="1" applyFont="1">
      <alignment horizontal="left" readingOrder="0" shrinkToFit="0" wrapText="1"/>
    </xf>
    <xf borderId="0" fillId="17" fontId="26" numFmtId="171" xfId="0" applyAlignment="1" applyFill="1" applyFont="1" applyNumberFormat="1">
      <alignment readingOrder="0" shrinkToFit="0" wrapText="1"/>
    </xf>
    <xf borderId="0" fillId="17" fontId="26" numFmtId="171" xfId="0" applyAlignment="1" applyFont="1" applyNumberFormat="1">
      <alignment horizontal="right" readingOrder="0" vertical="bottom"/>
    </xf>
    <xf borderId="0" fillId="16" fontId="21" numFmtId="0" xfId="0" applyAlignment="1" applyFont="1">
      <alignment readingOrder="0" shrinkToFit="0" vertical="bottom" wrapText="1"/>
    </xf>
    <xf borderId="0" fillId="9" fontId="23" numFmtId="171" xfId="0" applyAlignment="1" applyFont="1" applyNumberFormat="1">
      <alignment vertical="bottom"/>
    </xf>
    <xf borderId="0" fillId="9" fontId="23" numFmtId="10" xfId="0" applyAlignment="1" applyFont="1" applyNumberFormat="1">
      <alignment vertical="bottom"/>
    </xf>
    <xf borderId="3" fillId="9" fontId="23" numFmtId="171" xfId="0" applyAlignment="1" applyBorder="1" applyFont="1" applyNumberFormat="1">
      <alignment horizontal="right" shrinkToFit="0" vertical="bottom" wrapText="1"/>
    </xf>
    <xf borderId="3" fillId="9" fontId="23" numFmtId="10" xfId="0" applyAlignment="1" applyBorder="1" applyFont="1" applyNumberFormat="1">
      <alignment horizontal="right" shrinkToFit="0" vertical="bottom" wrapText="1"/>
    </xf>
    <xf borderId="3" fillId="0" fontId="23" numFmtId="171" xfId="0" applyAlignment="1" applyBorder="1" applyFont="1" applyNumberFormat="1">
      <alignment horizontal="right" shrinkToFit="0" vertical="bottom" wrapText="1"/>
    </xf>
    <xf borderId="3" fillId="0" fontId="23" numFmtId="10" xfId="0" applyAlignment="1" applyBorder="1" applyFont="1" applyNumberFormat="1">
      <alignment horizontal="right" vertical="bottom"/>
    </xf>
    <xf borderId="0" fillId="0" fontId="31" numFmtId="0" xfId="0" applyAlignment="1" applyFont="1">
      <alignment readingOrder="0"/>
    </xf>
    <xf borderId="0" fillId="18" fontId="25" numFmtId="0" xfId="0" applyAlignment="1" applyFill="1" applyFont="1">
      <alignment horizontal="left" shrinkToFit="0" wrapText="1"/>
    </xf>
    <xf borderId="0" fillId="9" fontId="26" numFmtId="171" xfId="0" applyAlignment="1" applyFont="1" applyNumberFormat="1">
      <alignment shrinkToFit="0" wrapText="1"/>
    </xf>
    <xf borderId="0" fillId="18" fontId="25" numFmtId="0" xfId="0" applyAlignment="1" applyFont="1">
      <alignment horizontal="left" readingOrder="0" shrinkToFit="0" wrapText="1"/>
    </xf>
    <xf borderId="0" fillId="9" fontId="26" numFmtId="171" xfId="0" applyAlignment="1" applyFont="1" applyNumberFormat="1">
      <alignment horizontal="right" readingOrder="0" vertical="bottom"/>
    </xf>
    <xf borderId="0" fillId="8" fontId="26" numFmtId="171" xfId="0" applyAlignment="1" applyFont="1" applyNumberFormat="1">
      <alignment horizontal="right" readingOrder="0" vertical="bottom"/>
    </xf>
    <xf borderId="0" fillId="18" fontId="21" numFmtId="0" xfId="0" applyAlignment="1" applyFont="1">
      <alignment readingOrder="0" shrinkToFit="0" vertical="bottom" wrapText="1"/>
    </xf>
    <xf borderId="0" fillId="9" fontId="23" numFmtId="171" xfId="0" applyAlignment="1" applyFont="1" applyNumberFormat="1">
      <alignment horizontal="right" readingOrder="0" vertical="bottom"/>
    </xf>
    <xf borderId="0" fillId="0" fontId="32" numFmtId="0" xfId="0" applyAlignment="1" applyFont="1">
      <alignment vertical="bottom"/>
    </xf>
    <xf borderId="0" fillId="9" fontId="23" numFmtId="10" xfId="0" applyAlignment="1" applyFont="1" applyNumberFormat="1">
      <alignment horizontal="right" shrinkToFit="0" vertical="bottom" wrapText="1"/>
    </xf>
    <xf borderId="5" fillId="9" fontId="25" numFmtId="172" xfId="0" applyAlignment="1" applyBorder="1" applyFont="1" applyNumberFormat="1">
      <alignment horizontal="right" shrinkToFit="0" wrapText="1"/>
    </xf>
    <xf borderId="0" fillId="19" fontId="25" numFmtId="0" xfId="0" applyAlignment="1" applyFill="1" applyFont="1">
      <alignment horizontal="left" shrinkToFit="0" wrapText="1"/>
    </xf>
    <xf borderId="0" fillId="19" fontId="25" numFmtId="0" xfId="0" applyAlignment="1" applyFont="1">
      <alignment horizontal="left" readingOrder="0" shrinkToFit="0" wrapText="1"/>
    </xf>
    <xf borderId="0" fillId="8" fontId="27" numFmtId="0" xfId="0" applyFont="1"/>
    <xf borderId="0" fillId="6" fontId="25" numFmtId="0" xfId="0" applyAlignment="1" applyFont="1">
      <alignment horizontal="left" shrinkToFit="0" wrapText="1"/>
    </xf>
    <xf borderId="0" fillId="6" fontId="25" numFmtId="0" xfId="0" applyAlignment="1" applyFont="1">
      <alignment horizontal="left" readingOrder="0" shrinkToFit="0" wrapText="1"/>
    </xf>
    <xf borderId="0" fillId="6" fontId="21" numFmtId="0" xfId="0" applyAlignment="1" applyFont="1">
      <alignment shrinkToFit="0" vertical="bottom" wrapText="1"/>
    </xf>
    <xf borderId="0" fillId="9" fontId="23" numFmtId="171" xfId="0" applyAlignment="1" applyFont="1" applyNumberFormat="1">
      <alignment horizontal="right" readingOrder="0" shrinkToFit="0" vertical="bottom" wrapText="1"/>
    </xf>
    <xf borderId="0" fillId="17" fontId="26" numFmtId="171" xfId="0" applyAlignment="1" applyFont="1" applyNumberFormat="1">
      <alignment horizontal="right" readingOrder="0" shrinkToFit="0" wrapText="1"/>
    </xf>
    <xf borderId="0" fillId="20" fontId="25" numFmtId="0" xfId="0" applyAlignment="1" applyFill="1" applyFont="1">
      <alignment horizontal="left" shrinkToFit="0" wrapText="1"/>
    </xf>
    <xf borderId="0" fillId="20" fontId="25" numFmtId="0" xfId="0" applyAlignment="1" applyFont="1">
      <alignment horizontal="left" readingOrder="0" shrinkToFit="0" wrapText="1"/>
    </xf>
    <xf borderId="0" fillId="0" fontId="25" numFmtId="0" xfId="0" applyAlignment="1" applyFont="1">
      <alignment horizontal="left" readingOrder="0" shrinkToFit="0" wrapText="1"/>
    </xf>
    <xf borderId="0" fillId="0" fontId="21" numFmtId="0" xfId="0" applyAlignment="1" applyFont="1">
      <alignment horizontal="center"/>
    </xf>
    <xf borderId="0" fillId="0" fontId="23" numFmtId="0" xfId="0" applyFont="1"/>
    <xf borderId="0" fillId="0" fontId="23" numFmtId="10" xfId="0" applyFont="1" applyNumberFormat="1"/>
    <xf borderId="0" fillId="0" fontId="21" numFmtId="174" xfId="0" applyAlignment="1" applyFont="1" applyNumberFormat="1">
      <alignment horizontal="center"/>
    </xf>
    <xf borderId="0" fillId="0" fontId="21" numFmtId="0" xfId="0" applyAlignment="1" applyFont="1">
      <alignment horizontal="center" shrinkToFit="0" wrapText="1"/>
    </xf>
    <xf borderId="6" fillId="7" fontId="21" numFmtId="0" xfId="0" applyAlignment="1" applyBorder="1" applyFont="1">
      <alignment horizontal="center" shrinkToFit="0" wrapText="1"/>
    </xf>
    <xf borderId="7" fillId="0" fontId="33" numFmtId="0" xfId="0" applyBorder="1" applyFont="1"/>
    <xf borderId="8" fillId="0" fontId="33" numFmtId="0" xfId="0" applyBorder="1" applyFont="1"/>
    <xf borderId="9" fillId="8" fontId="23" numFmtId="0" xfId="0" applyBorder="1" applyFont="1"/>
    <xf borderId="9" fillId="9" fontId="23" numFmtId="0" xfId="0" applyBorder="1" applyFont="1"/>
    <xf borderId="0" fillId="0" fontId="21" numFmtId="0" xfId="0" applyAlignment="1" applyFont="1">
      <alignment horizontal="left" shrinkToFit="0" wrapText="1"/>
    </xf>
    <xf borderId="0" fillId="0" fontId="23" numFmtId="14" xfId="0" applyAlignment="1" applyFont="1" applyNumberFormat="1">
      <alignment horizontal="center" shrinkToFit="0" wrapText="1"/>
    </xf>
    <xf borderId="9" fillId="8" fontId="24" numFmtId="0" xfId="0" applyAlignment="1" applyBorder="1" applyFont="1">
      <alignment shrinkToFit="0" wrapText="1"/>
    </xf>
    <xf borderId="10" fillId="10" fontId="21" numFmtId="0" xfId="0" applyAlignment="1" applyBorder="1" applyFont="1">
      <alignment horizontal="center" shrinkToFit="0" wrapText="1"/>
    </xf>
    <xf borderId="9" fillId="11" fontId="21" numFmtId="0" xfId="0" applyAlignment="1" applyBorder="1" applyFont="1">
      <alignment horizontal="left" shrinkToFit="0" wrapText="1"/>
    </xf>
    <xf borderId="9" fillId="11" fontId="25" numFmtId="0" xfId="0" applyAlignment="1" applyBorder="1" applyFont="1">
      <alignment horizontal="left" shrinkToFit="0" wrapText="1"/>
    </xf>
    <xf borderId="0" fillId="0" fontId="26" numFmtId="4" xfId="0" applyAlignment="1" applyFont="1" applyNumberFormat="1">
      <alignment horizontal="right" shrinkToFit="0" wrapText="1"/>
    </xf>
    <xf borderId="0" fillId="0" fontId="26" numFmtId="4" xfId="0" applyAlignment="1" applyFont="1" applyNumberFormat="1">
      <alignment shrinkToFit="0" wrapText="1"/>
    </xf>
    <xf borderId="0" fillId="0" fontId="34" numFmtId="0" xfId="0" applyFont="1"/>
    <xf borderId="9" fillId="8" fontId="26" numFmtId="171" xfId="0" applyAlignment="1" applyBorder="1" applyFont="1" applyNumberFormat="1">
      <alignment horizontal="right" shrinkToFit="0" wrapText="1"/>
    </xf>
    <xf borderId="9" fillId="8" fontId="26" numFmtId="10" xfId="0" applyAlignment="1" applyBorder="1" applyFont="1" applyNumberFormat="1">
      <alignment horizontal="right" shrinkToFit="0" wrapText="1"/>
    </xf>
    <xf borderId="0" fillId="0" fontId="23" numFmtId="4" xfId="0" applyFont="1" applyNumberFormat="1"/>
    <xf borderId="5" fillId="0" fontId="25" numFmtId="4" xfId="0" applyAlignment="1" applyBorder="1" applyFont="1" applyNumberFormat="1">
      <alignment horizontal="right" shrinkToFit="0" wrapText="1"/>
    </xf>
    <xf borderId="11" fillId="12" fontId="25" numFmtId="10" xfId="0" applyAlignment="1" applyBorder="1" applyFont="1" applyNumberFormat="1">
      <alignment horizontal="right" shrinkToFit="0" wrapText="1"/>
    </xf>
    <xf borderId="11" fillId="8" fontId="25" numFmtId="172" xfId="0" applyAlignment="1" applyBorder="1" applyFont="1" applyNumberFormat="1">
      <alignment horizontal="right" shrinkToFit="0" wrapText="1"/>
    </xf>
    <xf borderId="11" fillId="8" fontId="25" numFmtId="10" xfId="0" applyAlignment="1" applyBorder="1" applyFont="1" applyNumberFormat="1">
      <alignment horizontal="right" shrinkToFit="0" wrapText="1"/>
    </xf>
    <xf borderId="0" fillId="0" fontId="26" numFmtId="4" xfId="0" applyAlignment="1" applyFont="1" applyNumberFormat="1">
      <alignment horizontal="right"/>
    </xf>
    <xf borderId="0" fillId="0" fontId="23" numFmtId="2" xfId="0" applyFont="1" applyNumberFormat="1"/>
    <xf borderId="11" fillId="10" fontId="25" numFmtId="10" xfId="0" applyAlignment="1" applyBorder="1" applyFont="1" applyNumberFormat="1">
      <alignment horizontal="right" shrinkToFit="0" wrapText="1"/>
    </xf>
    <xf borderId="0" fillId="0" fontId="28" numFmtId="4" xfId="0" applyAlignment="1" applyFont="1" applyNumberFormat="1">
      <alignment horizontal="right" vertical="top"/>
    </xf>
    <xf borderId="0" fillId="0" fontId="35" numFmtId="0" xfId="0" applyFont="1"/>
    <xf borderId="11" fillId="13" fontId="25" numFmtId="10" xfId="0" applyAlignment="1" applyBorder="1" applyFont="1" applyNumberFormat="1">
      <alignment horizontal="right" shrinkToFit="0" wrapText="1"/>
    </xf>
    <xf borderId="9" fillId="8" fontId="26" numFmtId="171" xfId="0" applyAlignment="1" applyBorder="1" applyFont="1" applyNumberFormat="1">
      <alignment shrinkToFit="0" wrapText="1"/>
    </xf>
    <xf borderId="9" fillId="8" fontId="26" numFmtId="10" xfId="0" applyAlignment="1" applyBorder="1" applyFont="1" applyNumberFormat="1">
      <alignment shrinkToFit="0" wrapText="1"/>
    </xf>
    <xf borderId="9" fillId="14" fontId="25" numFmtId="0" xfId="0" applyAlignment="1" applyBorder="1" applyFont="1">
      <alignment horizontal="left" shrinkToFit="0" wrapText="1"/>
    </xf>
    <xf borderId="0" fillId="0" fontId="30" numFmtId="4" xfId="0" applyAlignment="1" applyFont="1" applyNumberFormat="1">
      <alignment horizontal="right" shrinkToFit="0" wrapText="1"/>
    </xf>
    <xf borderId="0" fillId="0" fontId="30" numFmtId="4" xfId="0" applyAlignment="1" applyFont="1" applyNumberFormat="1">
      <alignment shrinkToFit="0" wrapText="1"/>
    </xf>
    <xf borderId="9" fillId="14" fontId="25" numFmtId="0" xfId="0" applyAlignment="1" applyBorder="1" applyFont="1">
      <alignment horizontal="left"/>
    </xf>
    <xf borderId="0" fillId="0" fontId="25" numFmtId="4" xfId="0" applyAlignment="1" applyFont="1" applyNumberFormat="1">
      <alignment horizontal="right" shrinkToFit="0" wrapText="1"/>
    </xf>
    <xf borderId="9" fillId="8" fontId="25" numFmtId="172" xfId="0" applyAlignment="1" applyBorder="1" applyFont="1" applyNumberFormat="1">
      <alignment horizontal="right" shrinkToFit="0" wrapText="1"/>
    </xf>
    <xf borderId="9" fillId="8" fontId="25" numFmtId="10" xfId="0" applyAlignment="1" applyBorder="1" applyFont="1" applyNumberFormat="1">
      <alignment horizontal="right" shrinkToFit="0" wrapText="1"/>
    </xf>
    <xf borderId="0" fillId="0" fontId="23" numFmtId="171" xfId="0" applyFont="1" applyNumberFormat="1"/>
    <xf borderId="9" fillId="14" fontId="21" numFmtId="0" xfId="0" applyAlignment="1" applyBorder="1" applyFont="1">
      <alignment shrinkToFit="0" wrapText="1"/>
    </xf>
    <xf borderId="0" fillId="0" fontId="23" numFmtId="4" xfId="0" applyAlignment="1" applyFont="1" applyNumberFormat="1">
      <alignment horizontal="right" shrinkToFit="0" wrapText="1"/>
    </xf>
    <xf borderId="10" fillId="9" fontId="23" numFmtId="172" xfId="0" applyBorder="1" applyFont="1" applyNumberFormat="1"/>
    <xf borderId="10" fillId="9" fontId="23" numFmtId="10" xfId="0" applyBorder="1" applyFont="1" applyNumberFormat="1"/>
    <xf borderId="3" fillId="0" fontId="23" numFmtId="172" xfId="0" applyBorder="1" applyFont="1" applyNumberFormat="1"/>
    <xf borderId="3" fillId="0" fontId="23" numFmtId="10" xfId="0" applyBorder="1" applyFont="1" applyNumberFormat="1"/>
    <xf borderId="3" fillId="0" fontId="26" numFmtId="4" xfId="0" applyAlignment="1" applyBorder="1" applyFont="1" applyNumberFormat="1">
      <alignment horizontal="right" shrinkToFit="0" wrapText="1"/>
    </xf>
    <xf borderId="3" fillId="0" fontId="25" numFmtId="4" xfId="0" applyAlignment="1" applyBorder="1" applyFont="1" applyNumberFormat="1">
      <alignment horizontal="right" shrinkToFit="0" wrapText="1"/>
    </xf>
    <xf borderId="3" fillId="0" fontId="26" numFmtId="171" xfId="0" applyAlignment="1" applyBorder="1" applyFont="1" applyNumberFormat="1">
      <alignment horizontal="right" shrinkToFit="0" wrapText="1"/>
    </xf>
    <xf borderId="9" fillId="10" fontId="25" numFmtId="10" xfId="0" applyAlignment="1" applyBorder="1" applyFont="1" applyNumberFormat="1">
      <alignment horizontal="right" shrinkToFit="0" wrapText="1"/>
    </xf>
    <xf borderId="9" fillId="8" fontId="26" numFmtId="4" xfId="0" applyAlignment="1" applyBorder="1" applyFont="1" applyNumberFormat="1">
      <alignment shrinkToFit="0" wrapText="1"/>
    </xf>
    <xf borderId="9" fillId="15" fontId="25" numFmtId="0" xfId="0" applyAlignment="1" applyBorder="1" applyFont="1">
      <alignment horizontal="left" shrinkToFit="0" wrapText="1"/>
    </xf>
    <xf borderId="9" fillId="15" fontId="25" numFmtId="0" xfId="0" applyAlignment="1" applyBorder="1" applyFont="1">
      <alignment horizontal="left"/>
    </xf>
    <xf borderId="9" fillId="16" fontId="25" numFmtId="0" xfId="0" applyAlignment="1" applyBorder="1" applyFont="1">
      <alignment horizontal="left" shrinkToFit="0" wrapText="1"/>
    </xf>
    <xf borderId="0" fillId="17" fontId="26" numFmtId="4" xfId="0" applyAlignment="1" applyFont="1" applyNumberFormat="1">
      <alignment horizontal="right"/>
    </xf>
    <xf borderId="0" fillId="10" fontId="26" numFmtId="4" xfId="0" applyAlignment="1" applyFont="1" applyNumberFormat="1">
      <alignment horizontal="right"/>
    </xf>
    <xf borderId="0" fillId="10" fontId="26" numFmtId="4" xfId="0" applyAlignment="1" applyFont="1" applyNumberFormat="1">
      <alignment shrinkToFit="0" wrapText="1"/>
    </xf>
    <xf borderId="0" fillId="10" fontId="26" numFmtId="4" xfId="0" applyAlignment="1" applyFont="1" applyNumberFormat="1">
      <alignment horizontal="right" shrinkToFit="0" wrapText="1"/>
    </xf>
    <xf borderId="9" fillId="17" fontId="26" numFmtId="4" xfId="0" applyAlignment="1" applyBorder="1" applyFont="1" applyNumberFormat="1">
      <alignment horizontal="right"/>
    </xf>
    <xf borderId="9" fillId="16" fontId="21" numFmtId="0" xfId="0" applyAlignment="1" applyBorder="1" applyFont="1">
      <alignment shrinkToFit="0" wrapText="1"/>
    </xf>
    <xf borderId="9" fillId="9" fontId="23" numFmtId="171" xfId="0" applyBorder="1" applyFont="1" applyNumberFormat="1"/>
    <xf borderId="9" fillId="9" fontId="23" numFmtId="10" xfId="0" applyBorder="1" applyFont="1" applyNumberFormat="1"/>
    <xf borderId="10" fillId="9" fontId="23" numFmtId="171" xfId="0" applyAlignment="1" applyBorder="1" applyFont="1" applyNumberFormat="1">
      <alignment horizontal="right" shrinkToFit="0" wrapText="1"/>
    </xf>
    <xf borderId="10" fillId="9" fontId="23" numFmtId="10" xfId="0" applyAlignment="1" applyBorder="1" applyFont="1" applyNumberFormat="1">
      <alignment horizontal="right" shrinkToFit="0" wrapText="1"/>
    </xf>
    <xf borderId="3" fillId="0" fontId="23" numFmtId="171" xfId="0" applyAlignment="1" applyBorder="1" applyFont="1" applyNumberFormat="1">
      <alignment horizontal="right" shrinkToFit="0" wrapText="1"/>
    </xf>
    <xf borderId="3" fillId="0" fontId="23" numFmtId="10" xfId="0" applyAlignment="1" applyBorder="1" applyFont="1" applyNumberFormat="1">
      <alignment horizontal="right"/>
    </xf>
    <xf borderId="0" fillId="0" fontId="31" numFmtId="0" xfId="0" applyFont="1"/>
    <xf borderId="9" fillId="18" fontId="25" numFmtId="0" xfId="0" applyAlignment="1" applyBorder="1" applyFont="1">
      <alignment horizontal="left" shrinkToFit="0" wrapText="1"/>
    </xf>
    <xf borderId="9" fillId="18" fontId="21" numFmtId="0" xfId="0" applyAlignment="1" applyBorder="1" applyFont="1">
      <alignment shrinkToFit="0" wrapText="1"/>
    </xf>
    <xf borderId="0" fillId="0" fontId="23" numFmtId="4" xfId="0" applyAlignment="1" applyFont="1" applyNumberFormat="1">
      <alignment horizontal="right"/>
    </xf>
    <xf borderId="0" fillId="0" fontId="32" numFmtId="0" xfId="0" applyFont="1"/>
    <xf borderId="9" fillId="9" fontId="23" numFmtId="171" xfId="0" applyAlignment="1" applyBorder="1" applyFont="1" applyNumberFormat="1">
      <alignment horizontal="right" shrinkToFit="0" wrapText="1"/>
    </xf>
    <xf borderId="9" fillId="9" fontId="23" numFmtId="10" xfId="0" applyAlignment="1" applyBorder="1" applyFont="1" applyNumberFormat="1">
      <alignment horizontal="right" shrinkToFit="0" wrapText="1"/>
    </xf>
    <xf borderId="11" fillId="9" fontId="25" numFmtId="4" xfId="0" applyAlignment="1" applyBorder="1" applyFont="1" applyNumberFormat="1">
      <alignment horizontal="right" shrinkToFit="0" wrapText="1"/>
    </xf>
    <xf borderId="9" fillId="19" fontId="25" numFmtId="0" xfId="0" applyAlignment="1" applyBorder="1" applyFont="1">
      <alignment horizontal="left" shrinkToFit="0" wrapText="1"/>
    </xf>
    <xf borderId="9" fillId="8" fontId="34" numFmtId="0" xfId="0" applyBorder="1" applyFont="1"/>
    <xf borderId="11" fillId="8" fontId="25" numFmtId="4" xfId="0" applyAlignment="1" applyBorder="1" applyFont="1" applyNumberFormat="1">
      <alignment horizontal="right" shrinkToFit="0" wrapText="1"/>
    </xf>
    <xf borderId="9" fillId="6" fontId="25" numFmtId="0" xfId="0" applyAlignment="1" applyBorder="1" applyFont="1">
      <alignment horizontal="left" shrinkToFit="0" wrapText="1"/>
    </xf>
    <xf borderId="9" fillId="6" fontId="21" numFmtId="0" xfId="0" applyAlignment="1" applyBorder="1" applyFont="1">
      <alignment shrinkToFit="0" wrapText="1"/>
    </xf>
    <xf borderId="9" fillId="17" fontId="26" numFmtId="4" xfId="0" applyAlignment="1" applyBorder="1" applyFont="1" applyNumberFormat="1">
      <alignment horizontal="right" shrinkToFit="0" wrapText="1"/>
    </xf>
    <xf borderId="9" fillId="20" fontId="25" numFmtId="0" xfId="0" applyAlignment="1" applyBorder="1" applyFont="1">
      <alignment horizontal="left" shrinkToFit="0" wrapText="1"/>
    </xf>
    <xf borderId="0" fillId="0" fontId="23" numFmtId="175" xfId="0" applyFont="1" applyNumberFormat="1"/>
    <xf borderId="0" fillId="9" fontId="1" numFmtId="0" xfId="0" applyAlignment="1" applyFont="1">
      <alignment readingOrder="0"/>
    </xf>
    <xf borderId="0" fillId="9" fontId="1" numFmtId="0" xfId="0" applyFont="1"/>
    <xf borderId="0" fillId="0" fontId="36" numFmtId="0" xfId="0" applyAlignment="1" applyFont="1">
      <alignment vertical="bottom"/>
    </xf>
    <xf borderId="3" fillId="0" fontId="37" numFmtId="0" xfId="0" applyAlignment="1" applyBorder="1" applyFont="1">
      <alignment horizontal="center" shrinkToFit="0" vertical="bottom" wrapText="1"/>
    </xf>
    <xf borderId="0" fillId="0" fontId="1" numFmtId="176" xfId="0" applyAlignment="1" applyFont="1" applyNumberFormat="1">
      <alignment readingOrder="0"/>
    </xf>
    <xf borderId="0" fillId="0" fontId="1" numFmtId="0" xfId="0" applyAlignment="1" applyFont="1">
      <alignment readingOrder="0" shrinkToFit="0" wrapText="1"/>
    </xf>
    <xf borderId="0" fillId="0" fontId="38" numFmtId="0" xfId="0" applyAlignment="1" applyFont="1">
      <alignment shrinkToFit="0" vertical="bottom" wrapText="1"/>
    </xf>
    <xf borderId="0" fillId="0" fontId="36" numFmtId="171" xfId="0" applyAlignment="1" applyFont="1" applyNumberFormat="1">
      <alignment vertical="bottom"/>
    </xf>
    <xf borderId="0" fillId="0" fontId="38" numFmtId="0" xfId="0" applyAlignment="1" applyFont="1">
      <alignment readingOrder="0" shrinkToFit="0" vertical="bottom" wrapText="1"/>
    </xf>
    <xf borderId="0" fillId="9" fontId="39" numFmtId="171" xfId="0" applyAlignment="1" applyFont="1" applyNumberFormat="1">
      <alignment horizontal="right" readingOrder="0" shrinkToFit="0" vertical="bottom" wrapText="1"/>
    </xf>
    <xf borderId="0" fillId="0" fontId="39" numFmtId="171" xfId="0" applyAlignment="1" applyFont="1" applyNumberFormat="1">
      <alignment horizontal="right" readingOrder="0" shrinkToFit="0" vertical="bottom" wrapText="1"/>
    </xf>
    <xf borderId="0" fillId="0" fontId="39" numFmtId="171" xfId="0" applyAlignment="1" applyFont="1" applyNumberFormat="1">
      <alignment horizontal="right" shrinkToFit="0" vertical="bottom" wrapText="1"/>
    </xf>
    <xf borderId="0" fillId="0" fontId="1" numFmtId="171" xfId="0" applyFont="1" applyNumberFormat="1"/>
    <xf borderId="3" fillId="0" fontId="39" numFmtId="171" xfId="0" applyAlignment="1" applyBorder="1" applyFont="1" applyNumberFormat="1">
      <alignment horizontal="right" shrinkToFit="0" vertical="bottom" wrapText="1"/>
    </xf>
    <xf borderId="5" fillId="0" fontId="38" numFmtId="172" xfId="0" applyAlignment="1" applyBorder="1" applyFont="1" applyNumberFormat="1">
      <alignment horizontal="right" shrinkToFit="0" vertical="bottom" wrapText="1"/>
    </xf>
    <xf borderId="0" fillId="0" fontId="38" numFmtId="172" xfId="0" applyAlignment="1" applyFont="1" applyNumberFormat="1">
      <alignment horizontal="right" readingOrder="0" shrinkToFit="0" vertical="bottom" wrapText="1"/>
    </xf>
    <xf borderId="0" fillId="0" fontId="38" numFmtId="172" xfId="0" applyAlignment="1" applyFont="1" applyNumberFormat="1">
      <alignment horizontal="right" shrinkToFit="0" vertical="bottom" wrapText="1"/>
    </xf>
    <xf borderId="0" fillId="0" fontId="1" numFmtId="172" xfId="0" applyAlignment="1" applyFont="1" applyNumberFormat="1">
      <alignment readingOrder="0"/>
    </xf>
    <xf borderId="0" fillId="0" fontId="1" numFmtId="172" xfId="0" applyFont="1" applyNumberFormat="1"/>
    <xf borderId="0" fillId="9" fontId="39" numFmtId="171" xfId="0" applyAlignment="1" applyFont="1" applyNumberFormat="1">
      <alignment horizontal="right" shrinkToFit="0" vertical="bottom" wrapText="1"/>
    </xf>
    <xf borderId="0" fillId="8" fontId="1" numFmtId="0" xfId="0" applyAlignment="1" applyFont="1">
      <alignment readingOrder="0"/>
    </xf>
    <xf borderId="0" fillId="0" fontId="1" numFmtId="173" xfId="0" applyAlignment="1" applyFont="1" applyNumberFormat="1">
      <alignment readingOrder="0"/>
    </xf>
    <xf borderId="0" fillId="0" fontId="1" numFmtId="171" xfId="0" applyAlignment="1" applyFont="1" applyNumberFormat="1">
      <alignment readingOrder="0"/>
    </xf>
    <xf borderId="0" fillId="0" fontId="40" numFmtId="0" xfId="0" applyAlignment="1" applyFont="1">
      <alignment readingOrder="0" shrinkToFit="0" vertical="bottom" wrapText="1"/>
    </xf>
    <xf borderId="0" fillId="8" fontId="39" numFmtId="171" xfId="0" applyAlignment="1" applyFont="1" applyNumberFormat="1">
      <alignment horizontal="right" shrinkToFit="0" vertical="bottom" wrapText="1"/>
    </xf>
    <xf borderId="0" fillId="0" fontId="16" numFmtId="177" xfId="0" applyAlignment="1" applyFont="1" applyNumberFormat="1">
      <alignment horizontal="center" readingOrder="0" shrinkToFit="0" wrapText="0"/>
    </xf>
    <xf borderId="3" fillId="0" fontId="18" numFmtId="0" xfId="0" applyAlignment="1" applyBorder="1" applyFont="1">
      <alignment horizontal="center" shrinkToFit="0" wrapText="1"/>
    </xf>
    <xf borderId="0" fillId="0" fontId="39" numFmtId="49" xfId="0" applyAlignment="1" applyFont="1" applyNumberFormat="1">
      <alignment readingOrder="0" vertical="bottom"/>
    </xf>
    <xf borderId="0" fillId="21" fontId="20" numFmtId="166" xfId="0" applyAlignment="1" applyFill="1" applyFont="1" applyNumberFormat="1">
      <alignment horizontal="right" readingOrder="0" vertical="bottom"/>
    </xf>
    <xf borderId="0" fillId="0" fontId="20" numFmtId="171" xfId="0" applyAlignment="1" applyFont="1" applyNumberFormat="1">
      <alignment horizontal="right" readingOrder="0" vertical="bottom"/>
    </xf>
    <xf borderId="0" fillId="0" fontId="39" numFmtId="49" xfId="0" applyAlignment="1" applyFont="1" applyNumberFormat="1">
      <alignment readingOrder="0" vertical="bottom"/>
    </xf>
    <xf borderId="5" fillId="0" fontId="19" numFmtId="166" xfId="0" applyAlignment="1" applyBorder="1" applyFont="1" applyNumberFormat="1">
      <alignment horizontal="right" readingOrder="0" shrinkToFit="0" wrapText="1"/>
    </xf>
    <xf borderId="0" fillId="0" fontId="20" numFmtId="166" xfId="0" applyAlignment="1" applyFont="1" applyNumberFormat="1">
      <alignment readingOrder="0" shrinkToFit="0" wrapText="1"/>
    </xf>
    <xf borderId="0" fillId="0" fontId="20" numFmtId="166" xfId="0" applyAlignment="1" applyFont="1" applyNumberFormat="1">
      <alignment horizontal="right" readingOrder="0" shrinkToFit="0" wrapText="1"/>
    </xf>
    <xf borderId="0" fillId="8" fontId="1" numFmtId="172" xfId="0" applyFont="1" applyNumberFormat="1"/>
    <xf borderId="0" fillId="8" fontId="1" numFmtId="0" xfId="0" applyFont="1"/>
    <xf borderId="0" fillId="0" fontId="20" numFmtId="166" xfId="0" applyAlignment="1" applyFont="1" applyNumberFormat="1">
      <alignment shrinkToFit="0" wrapText="1"/>
    </xf>
    <xf borderId="3" fillId="0" fontId="20" numFmtId="166" xfId="0" applyAlignment="1" applyBorder="1" applyFont="1" applyNumberFormat="1">
      <alignment horizontal="right" readingOrder="0" shrinkToFit="0" wrapText="1"/>
    </xf>
    <xf borderId="0" fillId="0" fontId="38" numFmtId="0" xfId="0" applyAlignment="1" applyFont="1">
      <alignment readingOrder="0" vertical="bottom"/>
    </xf>
    <xf borderId="0" fillId="0" fontId="41" numFmtId="178" xfId="0" applyAlignment="1" applyFont="1" applyNumberFormat="1">
      <alignment vertical="bottom"/>
    </xf>
    <xf borderId="0" fillId="0" fontId="41" numFmtId="0" xfId="0" applyAlignment="1" applyFont="1">
      <alignment vertical="bottom"/>
    </xf>
    <xf borderId="0" fillId="0" fontId="39" numFmtId="178" xfId="0" applyAlignment="1" applyFont="1" applyNumberFormat="1">
      <alignment horizontal="right" readingOrder="0" shrinkToFit="0" vertical="bottom" wrapText="1"/>
    </xf>
    <xf borderId="5" fillId="0" fontId="38" numFmtId="178" xfId="0" applyAlignment="1" applyBorder="1" applyFont="1" applyNumberFormat="1">
      <alignment horizontal="right" shrinkToFit="0" vertical="bottom" wrapText="1"/>
    </xf>
    <xf borderId="0" fillId="0" fontId="41" numFmtId="0" xfId="0" applyAlignment="1" applyFont="1">
      <alignment readingOrder="0" vertical="bottom"/>
    </xf>
    <xf borderId="0" fillId="0" fontId="38" numFmtId="0" xfId="0" applyAlignment="1" applyFont="1">
      <alignment vertical="bottom"/>
    </xf>
    <xf borderId="0" fillId="16" fontId="38" numFmtId="178" xfId="0" applyAlignment="1" applyFont="1" applyNumberFormat="1">
      <alignment horizontal="right" shrinkToFit="0" vertical="bottom" wrapText="1"/>
    </xf>
    <xf borderId="0" fillId="0" fontId="1" numFmtId="178" xfId="0" applyFont="1" applyNumberFormat="1"/>
    <xf borderId="3" fillId="0" fontId="38" numFmtId="0" xfId="0" applyAlignment="1" applyBorder="1" applyFont="1">
      <alignment vertical="bottom"/>
    </xf>
    <xf borderId="3" fillId="0" fontId="38" numFmtId="0" xfId="0" applyAlignment="1" applyBorder="1" applyFont="1">
      <alignment horizontal="right" readingOrder="0" vertical="bottom"/>
    </xf>
    <xf borderId="3" fillId="0" fontId="38" numFmtId="0" xfId="0" applyAlignment="1" applyBorder="1" applyFont="1">
      <alignment horizontal="right" vertical="bottom"/>
    </xf>
    <xf borderId="0" fillId="0" fontId="39" numFmtId="0" xfId="0" applyAlignment="1" applyFont="1">
      <alignment vertical="bottom"/>
    </xf>
    <xf borderId="5" fillId="0" fontId="39" numFmtId="178" xfId="0" applyAlignment="1" applyBorder="1" applyFont="1" applyNumberFormat="1">
      <alignment horizontal="right" vertical="bottom"/>
    </xf>
    <xf borderId="0" fillId="0" fontId="38" numFmtId="178" xfId="0" applyAlignment="1" applyFont="1" applyNumberFormat="1">
      <alignment horizontal="right" vertical="bottom"/>
    </xf>
    <xf borderId="0" fillId="0" fontId="39" numFmtId="178" xfId="0" applyAlignment="1" applyFont="1" applyNumberFormat="1">
      <alignment horizontal="right" readingOrder="0" vertical="bottom"/>
    </xf>
    <xf borderId="0" fillId="16" fontId="38" numFmtId="178" xfId="0" applyAlignment="1" applyFont="1" applyNumberFormat="1">
      <alignment horizontal="right" vertical="bottom"/>
    </xf>
    <xf borderId="12" fillId="0" fontId="38" numFmtId="0" xfId="0" applyAlignment="1" applyBorder="1" applyFont="1">
      <alignment vertical="bottom"/>
    </xf>
    <xf borderId="12" fillId="0" fontId="38" numFmtId="178" xfId="0" applyAlignment="1" applyBorder="1" applyFont="1" applyNumberFormat="1">
      <alignment horizontal="right" vertical="bottom"/>
    </xf>
    <xf borderId="12" fillId="22" fontId="38" numFmtId="178" xfId="0" applyAlignment="1" applyBorder="1" applyFill="1" applyFont="1" applyNumberFormat="1">
      <alignment horizontal="right" vertical="bottom"/>
    </xf>
    <xf borderId="0" fillId="0" fontId="41" numFmtId="178" xfId="0" applyAlignment="1" applyFont="1" applyNumberFormat="1">
      <alignment readingOrder="0" vertical="bottom"/>
    </xf>
    <xf borderId="3" fillId="0" fontId="38" numFmtId="0" xfId="0" applyAlignment="1" applyBorder="1" applyFont="1">
      <alignment readingOrder="0" vertical="bottom"/>
    </xf>
    <xf borderId="3" fillId="0" fontId="38" numFmtId="178" xfId="0" applyAlignment="1" applyBorder="1" applyFont="1" applyNumberFormat="1">
      <alignment horizontal="right" vertical="bottom"/>
    </xf>
    <xf borderId="0" fillId="0" fontId="39" numFmtId="0" xfId="0" applyAlignment="1" applyFont="1">
      <alignment readingOrder="0" vertical="bottom"/>
    </xf>
    <xf borderId="0" fillId="0" fontId="39" numFmtId="178" xfId="0" applyAlignment="1" applyFont="1" applyNumberFormat="1">
      <alignment horizontal="right" vertical="bottom"/>
    </xf>
    <xf borderId="0" fillId="8" fontId="39" numFmtId="178" xfId="0" applyAlignment="1" applyFont="1" applyNumberFormat="1">
      <alignment horizontal="right" vertical="bottom"/>
    </xf>
    <xf borderId="5" fillId="0" fontId="38" numFmtId="0" xfId="0" applyAlignment="1" applyBorder="1" applyFont="1">
      <alignment readingOrder="0" vertical="bottom"/>
    </xf>
    <xf borderId="5" fillId="0" fontId="38" numFmtId="178" xfId="0" applyAlignment="1" applyBorder="1" applyFont="1" applyNumberFormat="1">
      <alignment horizontal="right" vertical="bottom"/>
    </xf>
    <xf borderId="5" fillId="0" fontId="38" numFmtId="178" xfId="0" applyAlignment="1" applyBorder="1" applyFont="1" applyNumberFormat="1">
      <alignment horizontal="right" readingOrder="0" vertical="bottom"/>
    </xf>
    <xf borderId="0" fillId="8" fontId="1" numFmtId="166" xfId="0" applyAlignment="1" applyFont="1" applyNumberFormat="1">
      <alignment readingOrder="0"/>
    </xf>
    <xf borderId="12" fillId="22" fontId="38" numFmtId="178" xfId="0" applyAlignment="1" applyBorder="1" applyFont="1" applyNumberFormat="1">
      <alignment horizontal="right" readingOrder="0" vertical="bottom"/>
    </xf>
    <xf borderId="0" fillId="8" fontId="39" numFmtId="0" xfId="0" applyAlignment="1" applyFont="1">
      <alignment readingOrder="0" vertical="bottom"/>
    </xf>
    <xf borderId="0" fillId="0" fontId="39" numFmtId="0" xfId="0" applyAlignment="1" applyFont="1">
      <alignment horizontal="left" vertical="bottom"/>
    </xf>
    <xf borderId="0" fillId="23" fontId="20" numFmtId="171" xfId="0" applyAlignment="1" applyFill="1" applyFont="1" applyNumberFormat="1">
      <alignment horizontal="right" readingOrder="0" vertical="bottom"/>
    </xf>
    <xf borderId="0" fillId="0" fontId="42" numFmtId="49" xfId="0" applyAlignment="1" applyFont="1" applyNumberFormat="1">
      <alignment readingOrder="0" vertical="bottom"/>
    </xf>
    <xf borderId="3" fillId="0" fontId="20" numFmtId="171" xfId="0" applyAlignment="1" applyBorder="1" applyFont="1" applyNumberFormat="1">
      <alignment horizontal="right" readingOrder="0" shrinkToFit="0" wrapText="1"/>
    </xf>
    <xf borderId="0" fillId="7" fontId="38" numFmtId="178" xfId="0" applyAlignment="1" applyFont="1" applyNumberFormat="1">
      <alignment horizontal="right" shrinkToFit="0" vertical="bottom" wrapText="1"/>
    </xf>
    <xf borderId="3" fillId="0" fontId="39" numFmtId="178" xfId="0" applyAlignment="1" applyBorder="1" applyFont="1" applyNumberFormat="1">
      <alignment horizontal="right" readingOrder="0" vertical="bottom"/>
    </xf>
    <xf borderId="0" fillId="7" fontId="38" numFmtId="178" xfId="0" applyAlignment="1" applyFont="1" applyNumberFormat="1">
      <alignment horizontal="right" vertical="bottom"/>
    </xf>
    <xf borderId="12" fillId="24" fontId="38" numFmtId="178" xfId="0" applyAlignment="1" applyBorder="1" applyFill="1" applyFont="1" applyNumberFormat="1">
      <alignment horizontal="right" vertical="bottom"/>
    </xf>
    <xf borderId="12" fillId="0" fontId="39" numFmtId="178" xfId="0" applyAlignment="1" applyBorder="1" applyFont="1" applyNumberFormat="1">
      <alignment horizontal="right" vertical="bottom"/>
    </xf>
    <xf borderId="0" fillId="8" fontId="39" numFmtId="0" xfId="0" applyAlignment="1" applyFont="1">
      <alignment vertical="bottom"/>
    </xf>
    <xf borderId="3" fillId="0" fontId="43" numFmtId="0" xfId="0" applyAlignment="1" applyBorder="1" applyFont="1">
      <alignment horizontal="left" readingOrder="0" shrinkToFit="0" vertical="bottom" wrapText="0"/>
    </xf>
    <xf borderId="3" fillId="0" fontId="43" numFmtId="0" xfId="0" applyAlignment="1" applyBorder="1" applyFont="1">
      <alignment readingOrder="0" shrinkToFit="0" vertical="bottom" wrapText="0"/>
    </xf>
    <xf borderId="3" fillId="0" fontId="44" numFmtId="0" xfId="0" applyAlignment="1" applyBorder="1" applyFont="1">
      <alignment readingOrder="0"/>
    </xf>
    <xf borderId="3" fillId="0" fontId="8" numFmtId="166" xfId="0" applyAlignment="1" applyBorder="1" applyFont="1" applyNumberFormat="1">
      <alignment horizontal="left" readingOrder="0"/>
    </xf>
    <xf borderId="3" fillId="0" fontId="8" numFmtId="0" xfId="0" applyAlignment="1" applyBorder="1" applyFont="1">
      <alignment horizontal="left" readingOrder="0"/>
    </xf>
    <xf borderId="3" fillId="8" fontId="8" numFmtId="166" xfId="0" applyAlignment="1" applyBorder="1" applyFont="1" applyNumberFormat="1">
      <alignment horizontal="left" readingOrder="0"/>
    </xf>
    <xf borderId="0" fillId="0" fontId="8" numFmtId="0" xfId="0" applyAlignment="1" applyFont="1">
      <alignment horizontal="left" readingOrder="0"/>
    </xf>
    <xf borderId="0" fillId="0" fontId="36" numFmtId="0" xfId="0" applyAlignment="1" applyFont="1">
      <alignment horizontal="left" readingOrder="0"/>
    </xf>
    <xf borderId="0" fillId="0" fontId="17" numFmtId="0" xfId="0" applyAlignment="1" applyFont="1">
      <alignment horizontal="left" readingOrder="0" shrinkToFit="0" vertical="bottom" wrapText="0"/>
    </xf>
    <xf borderId="0" fillId="25" fontId="36" numFmtId="166" xfId="0" applyAlignment="1" applyFill="1" applyFont="1" applyNumberFormat="1">
      <alignment horizontal="left" readingOrder="0"/>
    </xf>
    <xf borderId="0" fillId="0" fontId="17" numFmtId="0" xfId="0" applyAlignment="1" applyFont="1">
      <alignment readingOrder="0" shrinkToFit="0" vertical="bottom" wrapText="0"/>
    </xf>
    <xf borderId="0" fillId="0" fontId="1" numFmtId="166" xfId="0" applyAlignment="1" applyFont="1" applyNumberFormat="1">
      <alignment horizontal="left" readingOrder="0"/>
    </xf>
    <xf borderId="0" fillId="0" fontId="17" numFmtId="169" xfId="0" applyAlignment="1" applyFont="1" applyNumberFormat="1">
      <alignment horizontal="right" readingOrder="0" shrinkToFit="0" vertical="bottom" wrapText="0"/>
    </xf>
    <xf borderId="0" fillId="0" fontId="17" numFmtId="0" xfId="0" applyAlignment="1" applyFont="1">
      <alignment readingOrder="0" shrinkToFit="0" vertical="bottom" wrapText="0"/>
    </xf>
    <xf borderId="0" fillId="0" fontId="17" numFmtId="166" xfId="0" applyAlignment="1" applyFont="1" applyNumberFormat="1">
      <alignment readingOrder="0" shrinkToFit="0" vertical="bottom" wrapText="0"/>
    </xf>
    <xf borderId="0" fillId="0" fontId="17" numFmtId="166" xfId="0" applyAlignment="1" applyFont="1" applyNumberFormat="1">
      <alignment readingOrder="0" shrinkToFit="0" vertical="bottom" wrapText="0"/>
    </xf>
    <xf borderId="0" fillId="14" fontId="1" numFmtId="0" xfId="0" applyAlignment="1" applyFont="1">
      <alignment horizontal="left" readingOrder="0"/>
    </xf>
    <xf borderId="0" fillId="0" fontId="17" numFmtId="166" xfId="0" applyAlignment="1" applyFont="1" applyNumberFormat="1">
      <alignment horizontal="right" readingOrder="0" shrinkToFit="0" vertical="bottom" wrapText="0"/>
    </xf>
    <xf borderId="0" fillId="14" fontId="17" numFmtId="0" xfId="0" applyAlignment="1" applyFont="1">
      <alignment readingOrder="0" shrinkToFit="0" vertical="bottom" wrapText="0"/>
    </xf>
    <xf borderId="0" fillId="14" fontId="1" numFmtId="166" xfId="0" applyAlignment="1" applyFont="1" applyNumberFormat="1">
      <alignment horizontal="left"/>
    </xf>
    <xf borderId="0" fillId="14" fontId="1" numFmtId="166" xfId="0" applyAlignment="1" applyFont="1" applyNumberFormat="1">
      <alignment horizontal="left" readingOrder="0"/>
    </xf>
    <xf borderId="0" fillId="14" fontId="1" numFmtId="0" xfId="0" applyAlignment="1" applyFont="1">
      <alignment horizontal="left"/>
    </xf>
    <xf borderId="0" fillId="14" fontId="1" numFmtId="0" xfId="0" applyFont="1"/>
    <xf borderId="0" fillId="0" fontId="45" numFmtId="0" xfId="0" applyAlignment="1" applyFont="1">
      <alignment readingOrder="0" shrinkToFit="0" vertical="bottom" wrapText="0"/>
    </xf>
    <xf borderId="0" fillId="0" fontId="36" numFmtId="0" xfId="0" applyAlignment="1" applyFont="1">
      <alignment readingOrder="0"/>
    </xf>
    <xf borderId="0" fillId="14" fontId="36" numFmtId="0" xfId="0" applyAlignment="1" applyFont="1">
      <alignment readingOrder="0"/>
    </xf>
    <xf borderId="0" fillId="0" fontId="1" numFmtId="166" xfId="0" applyAlignment="1" applyFont="1" applyNumberFormat="1">
      <alignment horizontal="left" readingOrder="0"/>
    </xf>
    <xf borderId="0" fillId="14" fontId="46" numFmtId="0" xfId="0" applyAlignment="1" applyFont="1">
      <alignment readingOrder="0" shrinkToFit="0" vertical="bottom" wrapText="0"/>
    </xf>
    <xf borderId="0" fillId="0" fontId="47" numFmtId="166" xfId="0" applyAlignment="1" applyFont="1" applyNumberFormat="1">
      <alignment horizontal="left" readingOrder="0" shrinkToFit="0" vertical="bottom" wrapText="0"/>
    </xf>
    <xf borderId="0" fillId="0" fontId="17" numFmtId="169" xfId="0" applyAlignment="1" applyFont="1" applyNumberFormat="1">
      <alignment horizontal="left" readingOrder="0" shrinkToFit="0" vertical="bottom" wrapText="0"/>
    </xf>
    <xf borderId="0" fillId="14" fontId="17" numFmtId="169" xfId="0" applyAlignment="1" applyFont="1" applyNumberFormat="1">
      <alignment horizontal="left" readingOrder="0" shrinkToFit="0" vertical="bottom" wrapText="0"/>
    </xf>
    <xf borderId="0" fillId="14" fontId="47" numFmtId="166" xfId="0" applyAlignment="1" applyFont="1" applyNumberFormat="1">
      <alignment horizontal="left" readingOrder="0" shrinkToFit="0" vertical="bottom" wrapText="0"/>
    </xf>
    <xf borderId="0" fillId="0" fontId="17" numFmtId="0" xfId="0" applyAlignment="1" applyFont="1">
      <alignment horizontal="left" readingOrder="0" shrinkToFit="0" vertical="bottom" wrapText="0"/>
    </xf>
    <xf borderId="0" fillId="0" fontId="17" numFmtId="166" xfId="0" applyAlignment="1" applyFont="1" applyNumberFormat="1">
      <alignment horizontal="left" readingOrder="0" shrinkToFit="0" vertical="bottom" wrapText="0"/>
    </xf>
    <xf borderId="3" fillId="0" fontId="1" numFmtId="166" xfId="0" applyAlignment="1" applyBorder="1" applyFont="1" applyNumberFormat="1">
      <alignment horizontal="left" readingOrder="0"/>
    </xf>
    <xf borderId="0" fillId="0" fontId="1" numFmtId="0" xfId="0" applyAlignment="1" applyFont="1">
      <alignment horizontal="center"/>
    </xf>
    <xf borderId="3" fillId="0" fontId="18" numFmtId="0" xfId="0" applyAlignment="1" applyBorder="1" applyFont="1">
      <alignment horizontal="left" readingOrder="0" shrinkToFit="0" wrapText="1"/>
    </xf>
    <xf borderId="3" fillId="0" fontId="18" numFmtId="0" xfId="0" applyAlignment="1" applyBorder="1" applyFont="1">
      <alignment horizontal="center" readingOrder="0" shrinkToFit="0" wrapText="1"/>
    </xf>
    <xf borderId="0" fillId="0" fontId="20" numFmtId="169" xfId="0" applyAlignment="1" applyFont="1" applyNumberFormat="1">
      <alignment horizontal="left" readingOrder="0" vertical="bottom"/>
    </xf>
    <xf borderId="0" fillId="0" fontId="20" numFmtId="179" xfId="0" applyAlignment="1" applyFont="1" applyNumberFormat="1">
      <alignment horizontal="left" readingOrder="0" vertical="bottom"/>
    </xf>
    <xf borderId="0" fillId="0" fontId="20" numFmtId="0" xfId="0" applyAlignment="1" applyFont="1">
      <alignment horizontal="left" readingOrder="0" vertical="bottom"/>
    </xf>
    <xf borderId="0" fillId="0" fontId="20" numFmtId="0" xfId="0" applyAlignment="1" applyFont="1">
      <alignment horizontal="right" readingOrder="0" vertical="bottom"/>
    </xf>
    <xf borderId="0" fillId="0" fontId="39" numFmtId="0" xfId="0" applyAlignment="1" applyFont="1">
      <alignment shrinkToFit="0" vertical="bottom" wrapText="1"/>
    </xf>
    <xf borderId="0" fillId="0" fontId="39" numFmtId="0" xfId="0" applyAlignment="1" applyFont="1">
      <alignment horizontal="center" readingOrder="0" shrinkToFit="0" vertical="bottom" wrapText="1"/>
    </xf>
    <xf borderId="0" fillId="8" fontId="20" numFmtId="171" xfId="0" applyAlignment="1" applyFont="1" applyNumberFormat="1">
      <alignment horizontal="right" readingOrder="0" vertical="bottom"/>
    </xf>
    <xf borderId="0" fillId="0" fontId="36" numFmtId="4" xfId="0" applyAlignment="1" applyFont="1" applyNumberFormat="1">
      <alignment readingOrder="0" vertical="bottom"/>
    </xf>
    <xf borderId="0" fillId="0" fontId="36" numFmtId="0" xfId="0" applyAlignment="1" applyFont="1">
      <alignment vertical="bottom"/>
    </xf>
    <xf borderId="0" fillId="0" fontId="20" numFmtId="0" xfId="0" applyAlignment="1" applyFont="1">
      <alignment horizontal="left" vertical="bottom"/>
    </xf>
    <xf borderId="0" fillId="0" fontId="20" numFmtId="0" xfId="0" applyAlignment="1" applyFont="1">
      <alignment horizontal="left" vertical="bottom"/>
    </xf>
    <xf borderId="0" fillId="0" fontId="20" numFmtId="0" xfId="0" applyAlignment="1" applyFont="1">
      <alignment horizontal="left" readingOrder="0" vertical="bottom"/>
    </xf>
    <xf borderId="3" fillId="8" fontId="20" numFmtId="171" xfId="0" applyAlignment="1" applyBorder="1" applyFont="1" applyNumberFormat="1">
      <alignment horizontal="right" readingOrder="0" vertical="bottom"/>
    </xf>
    <xf borderId="0" fillId="0" fontId="20" numFmtId="4" xfId="0" applyAlignment="1" applyFont="1" applyNumberFormat="1">
      <alignment horizontal="right" readingOrder="0" vertical="bottom"/>
    </xf>
    <xf borderId="0" fillId="8" fontId="20" numFmtId="0" xfId="0" applyAlignment="1" applyFont="1">
      <alignment horizontal="right" readingOrder="0" vertical="bottom"/>
    </xf>
    <xf borderId="0" fillId="26" fontId="20" numFmtId="0" xfId="0" applyAlignment="1" applyFill="1" applyFont="1">
      <alignment horizontal="right" readingOrder="0" vertical="bottom"/>
    </xf>
    <xf borderId="0" fillId="8" fontId="20" numFmtId="4" xfId="0" applyAlignment="1" applyFont="1" applyNumberFormat="1">
      <alignment horizontal="right" readingOrder="0" vertical="bottom"/>
    </xf>
    <xf borderId="0" fillId="9" fontId="20" numFmtId="0" xfId="0" applyAlignment="1" applyFont="1">
      <alignment horizontal="right" readingOrder="0" vertical="bottom"/>
    </xf>
    <xf borderId="3" fillId="0" fontId="20" numFmtId="4" xfId="0" applyAlignment="1" applyBorder="1" applyFont="1" applyNumberFormat="1">
      <alignment horizontal="right" readingOrder="0" vertical="bottom"/>
    </xf>
    <xf borderId="0" fillId="0" fontId="19" numFmtId="0" xfId="0" applyAlignment="1" applyFont="1">
      <alignment horizontal="left" readingOrder="0" vertical="bottom"/>
    </xf>
    <xf borderId="0" fillId="0" fontId="38" numFmtId="0" xfId="0" applyAlignment="1" applyFont="1">
      <alignment shrinkToFit="0" vertical="bottom" wrapText="1"/>
    </xf>
    <xf borderId="0" fillId="0" fontId="39" numFmtId="0" xfId="0" applyAlignment="1" applyFont="1">
      <alignment readingOrder="0" shrinkToFit="0" vertical="bottom" wrapText="1"/>
    </xf>
    <xf borderId="0" fillId="0" fontId="20" numFmtId="179" xfId="0" applyAlignment="1" applyFont="1" applyNumberFormat="1">
      <alignment horizontal="left" readingOrder="0" vertical="bottom"/>
    </xf>
    <xf borderId="0" fillId="0" fontId="20" numFmtId="0" xfId="0" applyAlignment="1" applyFont="1">
      <alignment horizontal="left" readingOrder="0" vertical="bottom"/>
    </xf>
    <xf borderId="0" fillId="0" fontId="20" numFmtId="0" xfId="0" applyAlignment="1" applyFont="1">
      <alignment horizontal="left" vertical="bottom"/>
    </xf>
    <xf borderId="0" fillId="0" fontId="20" numFmtId="0" xfId="0" applyAlignment="1" applyFont="1">
      <alignment horizontal="left" vertical="bottom"/>
    </xf>
    <xf borderId="0" fillId="0" fontId="20" numFmtId="171" xfId="0" applyAlignment="1" applyFont="1" applyNumberFormat="1">
      <alignment horizontal="right" readingOrder="0" vertical="bottom"/>
    </xf>
    <xf borderId="0" fillId="0" fontId="36" numFmtId="0" xfId="0" applyAlignment="1" applyFont="1">
      <alignment horizontal="left" vertical="bottom"/>
    </xf>
    <xf borderId="0" fillId="0" fontId="36" numFmtId="0" xfId="0" applyAlignment="1" applyFont="1">
      <alignment horizontal="center" vertical="bottom"/>
    </xf>
    <xf borderId="0" fillId="0" fontId="39" numFmtId="179" xfId="0" applyAlignment="1" applyFont="1" applyNumberFormat="1">
      <alignment readingOrder="0" shrinkToFit="0" vertical="bottom" wrapText="1"/>
    </xf>
    <xf borderId="12" fillId="0" fontId="38" numFmtId="172" xfId="0" applyAlignment="1" applyBorder="1" applyFont="1" applyNumberFormat="1">
      <alignment horizontal="right" shrinkToFit="0" vertical="bottom" wrapText="1"/>
    </xf>
    <xf borderId="0" fillId="0" fontId="41" numFmtId="2" xfId="0" applyAlignment="1" applyFont="1" applyNumberFormat="1">
      <alignment vertical="bottom"/>
    </xf>
    <xf borderId="0" fillId="27" fontId="48" numFmtId="0" xfId="0" applyAlignment="1" applyFill="1" applyFont="1">
      <alignment horizontal="center" shrinkToFit="0" vertical="bottom" wrapText="1"/>
    </xf>
    <xf borderId="0" fillId="27" fontId="48" numFmtId="2" xfId="0" applyAlignment="1" applyFont="1" applyNumberFormat="1">
      <alignment horizontal="center" shrinkToFit="0" vertical="bottom" wrapText="1"/>
    </xf>
    <xf borderId="0" fillId="28" fontId="49" numFmtId="2" xfId="0" applyAlignment="1" applyFill="1" applyFont="1" applyNumberFormat="1">
      <alignment horizontal="center" readingOrder="0" shrinkToFit="0" vertical="bottom" wrapText="1"/>
    </xf>
    <xf borderId="0" fillId="27" fontId="49" numFmtId="2" xfId="0" applyAlignment="1" applyFont="1" applyNumberFormat="1">
      <alignment horizontal="center" readingOrder="0" shrinkToFit="0" vertical="bottom" wrapText="1"/>
    </xf>
    <xf borderId="0" fillId="0" fontId="50" numFmtId="0" xfId="0" applyFont="1"/>
    <xf borderId="0" fillId="0" fontId="51" numFmtId="2" xfId="0" applyAlignment="1" applyFont="1" applyNumberFormat="1">
      <alignment horizontal="right" readingOrder="0" shrinkToFit="0" vertical="bottom" wrapText="1"/>
    </xf>
    <xf borderId="0" fillId="0" fontId="52" numFmtId="180" xfId="0" applyAlignment="1" applyFont="1" applyNumberFormat="1">
      <alignment horizontal="right" readingOrder="0" vertical="bottom"/>
    </xf>
    <xf borderId="0" fillId="0" fontId="53" numFmtId="180" xfId="0" applyAlignment="1" applyFont="1" applyNumberFormat="1">
      <alignment horizontal="right" vertical="bottom"/>
    </xf>
    <xf borderId="0" fillId="0" fontId="50" numFmtId="180" xfId="0" applyFont="1" applyNumberFormat="1"/>
    <xf borderId="0" fillId="0" fontId="51" numFmtId="2" xfId="0" applyAlignment="1" applyFont="1" applyNumberFormat="1">
      <alignment horizontal="right" shrinkToFit="0" vertical="bottom" wrapText="1"/>
    </xf>
    <xf borderId="0" fillId="0" fontId="51" numFmtId="2" xfId="0" applyAlignment="1" applyFont="1" applyNumberFormat="1">
      <alignment horizontal="right" vertical="bottom"/>
    </xf>
    <xf borderId="0" fillId="0" fontId="53" numFmtId="2" xfId="0" applyAlignment="1" applyFont="1" applyNumberFormat="1">
      <alignment horizontal="right" vertical="bottom"/>
    </xf>
    <xf borderId="0" fillId="0" fontId="53" numFmtId="2" xfId="0" applyAlignment="1" applyFont="1" applyNumberFormat="1">
      <alignment horizontal="right" readingOrder="0" vertical="bottom"/>
    </xf>
    <xf borderId="0" fillId="0" fontId="50" numFmtId="2" xfId="0" applyFont="1" applyNumberFormat="1"/>
    <xf borderId="3" fillId="0" fontId="53" numFmtId="0" xfId="0" applyAlignment="1" applyBorder="1" applyFont="1">
      <alignment horizontal="right" vertical="bottom"/>
    </xf>
    <xf borderId="3" fillId="0" fontId="53" numFmtId="2" xfId="0" applyAlignment="1" applyBorder="1" applyFont="1" applyNumberFormat="1">
      <alignment horizontal="right" vertical="bottom"/>
    </xf>
    <xf borderId="0" fillId="0" fontId="54" numFmtId="166" xfId="0" applyAlignment="1" applyFont="1" applyNumberFormat="1">
      <alignment horizontal="right" readingOrder="0"/>
    </xf>
    <xf borderId="0" fillId="0" fontId="50" numFmtId="166" xfId="0" applyAlignment="1" applyFont="1" applyNumberFormat="1">
      <alignment horizontal="right" vertical="bottom"/>
    </xf>
    <xf borderId="0" fillId="0" fontId="50" numFmtId="165" xfId="0" applyAlignment="1" applyFont="1" applyNumberFormat="1">
      <alignment horizontal="right" vertical="bottom"/>
    </xf>
    <xf borderId="0" fillId="0" fontId="55" numFmtId="0" xfId="0" applyFont="1"/>
    <xf borderId="0" fillId="0" fontId="41" numFmtId="166" xfId="0" applyAlignment="1" applyFont="1" applyNumberFormat="1">
      <alignment vertical="bottom"/>
    </xf>
    <xf borderId="0" fillId="0" fontId="53" numFmtId="165" xfId="0" applyAlignment="1" applyFont="1" applyNumberFormat="1">
      <alignment horizontal="right" vertical="bottom"/>
    </xf>
    <xf borderId="0" fillId="0" fontId="50" numFmtId="165" xfId="0" applyFont="1" applyNumberFormat="1"/>
    <xf borderId="0" fillId="0" fontId="56" numFmtId="2" xfId="0" applyAlignment="1" applyFont="1" applyNumberFormat="1">
      <alignment horizontal="right" readingOrder="0" vertical="bottom"/>
    </xf>
    <xf borderId="0" fillId="0" fontId="57" numFmtId="0" xfId="0" applyAlignment="1" applyFont="1">
      <alignment horizontal="right" readingOrder="0"/>
    </xf>
    <xf borderId="0" fillId="0" fontId="58" numFmtId="165" xfId="0" applyAlignment="1" applyFont="1" applyNumberFormat="1">
      <alignment readingOrder="0"/>
    </xf>
    <xf borderId="3" fillId="0" fontId="53" numFmtId="165" xfId="0" applyAlignment="1" applyBorder="1" applyFont="1" applyNumberFormat="1">
      <alignment horizontal="right" readingOrder="0" vertical="bottom"/>
    </xf>
    <xf borderId="3" fillId="0" fontId="53" numFmtId="165" xfId="0" applyAlignment="1" applyBorder="1" applyFont="1" applyNumberFormat="1">
      <alignment horizontal="right" vertical="bottom"/>
    </xf>
    <xf borderId="0" fillId="0" fontId="51" numFmtId="165" xfId="0" applyAlignment="1" applyFont="1" applyNumberFormat="1">
      <alignment horizontal="right" vertical="bottom"/>
    </xf>
    <xf borderId="0" fillId="27" fontId="41" numFmtId="2" xfId="0" applyAlignment="1" applyFont="1" applyNumberFormat="1">
      <alignment vertical="bottom"/>
    </xf>
    <xf borderId="0" fillId="27" fontId="50" numFmtId="2" xfId="0" applyAlignment="1" applyFont="1" applyNumberFormat="1">
      <alignment vertical="bottom"/>
    </xf>
    <xf borderId="0" fillId="0" fontId="57" numFmtId="2" xfId="0" applyAlignment="1" applyFont="1" applyNumberFormat="1">
      <alignment horizontal="center" vertical="bottom"/>
    </xf>
    <xf borderId="0" fillId="0" fontId="50" numFmtId="2" xfId="0" applyAlignment="1" applyFont="1" applyNumberFormat="1">
      <alignment vertical="bottom"/>
    </xf>
    <xf borderId="0" fillId="0" fontId="53" numFmtId="9" xfId="0" applyAlignment="1" applyFont="1" applyNumberFormat="1">
      <alignment horizontal="right" vertical="bottom"/>
    </xf>
    <xf borderId="0" fillId="0" fontId="53" numFmtId="181" xfId="0" applyAlignment="1" applyFont="1" applyNumberFormat="1">
      <alignment horizontal="right" vertical="bottom"/>
    </xf>
    <xf borderId="0" fillId="0" fontId="50" numFmtId="0" xfId="0" applyAlignment="1" applyFont="1">
      <alignment readingOrder="0"/>
    </xf>
    <xf borderId="0" fillId="0" fontId="59" numFmtId="0" xfId="0" applyAlignment="1" applyFont="1">
      <alignment readingOrder="0"/>
    </xf>
    <xf borderId="0" fillId="0" fontId="60" numFmtId="0" xfId="0" applyFont="1"/>
    <xf borderId="0" fillId="0" fontId="60" numFmtId="165" xfId="0" applyFont="1" applyNumberFormat="1"/>
    <xf borderId="0" fillId="10" fontId="50" numFmtId="0" xfId="0" applyAlignment="1" applyFont="1">
      <alignment readingOrder="0"/>
    </xf>
    <xf borderId="0" fillId="10" fontId="50" numFmtId="0" xfId="0" applyFont="1"/>
    <xf borderId="0" fillId="0" fontId="50" numFmtId="10" xfId="0" applyFont="1" applyNumberFormat="1"/>
    <xf borderId="0" fillId="0" fontId="61" numFmtId="0" xfId="0" applyAlignment="1" applyFont="1">
      <alignment horizontal="center" readingOrder="0" shrinkToFit="0" wrapText="0"/>
    </xf>
    <xf borderId="0" fillId="0" fontId="41" numFmtId="0" xfId="0" applyAlignment="1" applyFont="1">
      <alignment shrinkToFit="0" vertical="bottom" wrapText="0"/>
    </xf>
    <xf borderId="0" fillId="0" fontId="62" numFmtId="177" xfId="0" applyAlignment="1" applyFont="1" applyNumberFormat="1">
      <alignment horizontal="center" readingOrder="0" shrinkToFit="0" wrapText="0"/>
    </xf>
    <xf borderId="0" fillId="0" fontId="56" numFmtId="0" xfId="0" applyAlignment="1" applyFont="1">
      <alignment readingOrder="0" shrinkToFit="0" vertical="bottom" wrapText="0"/>
    </xf>
    <xf borderId="0" fillId="8" fontId="41" numFmtId="0" xfId="0" applyAlignment="1" applyFont="1">
      <alignment readingOrder="0" shrinkToFit="0" vertical="bottom" wrapText="0"/>
    </xf>
    <xf borderId="0" fillId="0" fontId="63" numFmtId="0" xfId="0" applyAlignment="1" applyFont="1">
      <alignment horizontal="right" readingOrder="0" shrinkToFit="0" vertical="bottom" wrapText="0"/>
    </xf>
    <xf borderId="0" fillId="0" fontId="41" numFmtId="0" xfId="0" applyAlignment="1" applyFont="1">
      <alignment shrinkToFit="0" vertical="bottom" wrapText="0"/>
    </xf>
    <xf borderId="0" fillId="0" fontId="63" numFmtId="0" xfId="0" applyAlignment="1" applyFont="1">
      <alignment horizontal="center" readingOrder="0" shrinkToFit="0" wrapText="0"/>
    </xf>
    <xf borderId="0" fillId="0" fontId="63" numFmtId="0" xfId="0" applyAlignment="1" applyFont="1">
      <alignment horizontal="right" readingOrder="0" shrinkToFit="0" wrapText="0"/>
    </xf>
    <xf borderId="0" fillId="0" fontId="63" numFmtId="0" xfId="0" applyAlignment="1" applyFont="1">
      <alignment readingOrder="0" shrinkToFit="0" wrapText="0"/>
    </xf>
    <xf borderId="0" fillId="0" fontId="64" numFmtId="0" xfId="0" applyAlignment="1" applyFont="1">
      <alignment shrinkToFit="0" vertical="bottom" wrapText="0"/>
    </xf>
    <xf borderId="0" fillId="0" fontId="64" numFmtId="169" xfId="0" applyAlignment="1" applyFont="1" applyNumberFormat="1">
      <alignment shrinkToFit="0" vertical="bottom" wrapText="0"/>
    </xf>
    <xf borderId="0" fillId="0" fontId="62" numFmtId="0" xfId="0" applyAlignment="1" applyFont="1">
      <alignment readingOrder="0" shrinkToFit="0" vertical="top" wrapText="0"/>
    </xf>
    <xf borderId="0" fillId="0" fontId="62" numFmtId="0" xfId="0" applyAlignment="1" applyFont="1">
      <alignment shrinkToFit="0" vertical="top" wrapText="0"/>
    </xf>
    <xf borderId="0" fillId="0" fontId="64" numFmtId="0" xfId="0" applyAlignment="1" applyFont="1">
      <alignment shrinkToFit="0" vertical="bottom" wrapText="0"/>
    </xf>
    <xf borderId="0" fillId="0" fontId="62" numFmtId="182" xfId="0" applyAlignment="1" applyFont="1" applyNumberFormat="1">
      <alignment horizontal="right" readingOrder="0" shrinkToFit="0" vertical="top" wrapText="0"/>
    </xf>
    <xf borderId="0" fillId="0" fontId="62" numFmtId="171" xfId="0" applyAlignment="1" applyFont="1" applyNumberFormat="1">
      <alignment horizontal="right" readingOrder="0" shrinkToFit="0" vertical="top" wrapText="0"/>
    </xf>
    <xf borderId="0" fillId="0" fontId="62" numFmtId="0" xfId="0" applyAlignment="1" applyFont="1">
      <alignment readingOrder="0" vertical="bottom"/>
    </xf>
    <xf borderId="0" fillId="0" fontId="62" numFmtId="0" xfId="0" applyAlignment="1" applyFont="1">
      <alignment vertical="bottom"/>
    </xf>
    <xf borderId="0" fillId="0" fontId="62" numFmtId="0" xfId="0" applyFont="1"/>
    <xf borderId="0" fillId="0" fontId="62" numFmtId="183" xfId="0" applyAlignment="1" applyFont="1" applyNumberFormat="1">
      <alignment horizontal="center" readingOrder="0" shrinkToFit="0" vertical="top" wrapText="0"/>
    </xf>
    <xf borderId="0" fillId="0" fontId="62" numFmtId="0" xfId="0" applyAlignment="1" applyFont="1">
      <alignment horizontal="right" readingOrder="0" shrinkToFit="0" vertical="top" wrapText="0"/>
    </xf>
    <xf borderId="0" fillId="0" fontId="62" numFmtId="4" xfId="0" applyAlignment="1" applyFont="1" applyNumberFormat="1">
      <alignment horizontal="right" readingOrder="0" shrinkToFit="0" vertical="top" wrapText="0"/>
    </xf>
    <xf borderId="0" fillId="0" fontId="64" numFmtId="182" xfId="0" applyAlignment="1" applyFont="1" applyNumberFormat="1">
      <alignment horizontal="right" readingOrder="0" shrinkToFit="0" vertical="bottom" wrapText="0"/>
    </xf>
    <xf borderId="0" fillId="10" fontId="62" numFmtId="183" xfId="0" applyAlignment="1" applyFont="1" applyNumberFormat="1">
      <alignment horizontal="center" readingOrder="0" shrinkToFit="0" vertical="top" wrapText="0"/>
    </xf>
    <xf borderId="0" fillId="10" fontId="62" numFmtId="0" xfId="0" applyAlignment="1" applyFont="1">
      <alignment horizontal="right" readingOrder="0" shrinkToFit="0" vertical="top" wrapText="0"/>
    </xf>
    <xf borderId="0" fillId="10" fontId="62" numFmtId="0" xfId="0" applyAlignment="1" applyFont="1">
      <alignment readingOrder="0" shrinkToFit="0" vertical="top" wrapText="0"/>
    </xf>
    <xf borderId="0" fillId="10" fontId="62" numFmtId="0" xfId="0" applyAlignment="1" applyFont="1">
      <alignment shrinkToFit="0" vertical="top" wrapText="0"/>
    </xf>
    <xf borderId="0" fillId="10" fontId="62" numFmtId="182" xfId="0" applyAlignment="1" applyFont="1" applyNumberFormat="1">
      <alignment horizontal="right" readingOrder="0" shrinkToFit="0" vertical="top" wrapText="0"/>
    </xf>
    <xf borderId="0" fillId="10" fontId="62" numFmtId="4" xfId="0" applyAlignment="1" applyFont="1" applyNumberFormat="1">
      <alignment horizontal="right" readingOrder="0" shrinkToFit="0" vertical="top" wrapText="0"/>
    </xf>
    <xf borderId="0" fillId="0" fontId="63" numFmtId="4" xfId="0" applyAlignment="1" applyFont="1" applyNumberFormat="1">
      <alignment horizontal="right" readingOrder="0" shrinkToFit="0" vertical="top" wrapText="0"/>
    </xf>
    <xf borderId="0" fillId="0" fontId="62" numFmtId="0" xfId="0" applyAlignment="1" applyFont="1">
      <alignment horizontal="right" shrinkToFit="0" vertical="top" wrapText="0"/>
    </xf>
    <xf borderId="0" fillId="0" fontId="62" numFmtId="0" xfId="0" applyAlignment="1" applyFont="1">
      <alignment readingOrder="0"/>
    </xf>
    <xf borderId="0" fillId="0" fontId="62" numFmtId="184" xfId="0" applyFont="1" applyNumberFormat="1"/>
    <xf borderId="5" fillId="0" fontId="62" numFmtId="4" xfId="0" applyAlignment="1" applyBorder="1" applyFont="1" applyNumberFormat="1">
      <alignment horizontal="right" readingOrder="0" shrinkToFit="0" vertical="top" wrapText="0"/>
    </xf>
    <xf borderId="0" fillId="0" fontId="62" numFmtId="0" xfId="0" applyAlignment="1" applyFont="1">
      <alignment horizontal="right" shrinkToFit="0" vertical="bottom" wrapText="0"/>
    </xf>
    <xf borderId="0" fillId="0" fontId="43" numFmtId="0" xfId="0" applyAlignment="1" applyFont="1">
      <alignment readingOrder="0" shrinkToFit="0" vertical="bottom" wrapText="0"/>
    </xf>
    <xf borderId="0" fillId="0" fontId="8" numFmtId="0" xfId="0" applyAlignment="1" applyFont="1">
      <alignment horizontal="left"/>
    </xf>
    <xf borderId="0" fillId="0" fontId="43" numFmtId="0" xfId="0" applyAlignment="1" applyFont="1">
      <alignment horizontal="center" readingOrder="0" shrinkToFit="0" vertical="bottom" wrapText="0"/>
    </xf>
    <xf borderId="0" fillId="0" fontId="65" numFmtId="0" xfId="0" applyAlignment="1" applyFont="1">
      <alignment horizontal="right" readingOrder="0" shrinkToFit="0" vertical="bottom" wrapText="0"/>
    </xf>
    <xf borderId="0" fillId="0" fontId="62" numFmtId="0" xfId="0" applyAlignment="1" applyFont="1">
      <alignment readingOrder="0" shrinkToFit="0" vertical="top" wrapText="0"/>
    </xf>
    <xf borderId="0" fillId="0" fontId="66" numFmtId="0" xfId="0" applyAlignment="1" applyFont="1">
      <alignment horizontal="center" readingOrder="0" shrinkToFit="0" vertical="bottom" wrapText="0"/>
    </xf>
    <xf borderId="0" fillId="9" fontId="17" numFmtId="0" xfId="0" applyAlignment="1" applyFont="1">
      <alignment horizontal="center" readingOrder="0" shrinkToFit="0" vertical="bottom" wrapText="0"/>
    </xf>
    <xf borderId="3" fillId="0" fontId="66" numFmtId="0" xfId="0" applyAlignment="1" applyBorder="1" applyFont="1">
      <alignment horizontal="center" readingOrder="0" shrinkToFit="0" vertical="bottom" wrapText="0"/>
    </xf>
    <xf borderId="0" fillId="0" fontId="66" numFmtId="4" xfId="0" applyAlignment="1" applyFont="1" applyNumberFormat="1">
      <alignment shrinkToFit="0" vertical="bottom" wrapText="0"/>
    </xf>
    <xf borderId="0" fillId="0" fontId="63" numFmtId="0" xfId="0" applyAlignment="1" applyFont="1">
      <alignment horizontal="right" readingOrder="0" shrinkToFit="0" vertical="top" wrapText="0"/>
    </xf>
    <xf borderId="0" fillId="0" fontId="62" numFmtId="2" xfId="0" applyAlignment="1" applyFont="1" applyNumberFormat="1">
      <alignment horizontal="right" readingOrder="0" shrinkToFit="0" vertical="top" wrapText="0"/>
    </xf>
    <xf borderId="0" fillId="0" fontId="66" numFmtId="4" xfId="0" applyAlignment="1" applyFont="1" applyNumberFormat="1">
      <alignment horizontal="right" readingOrder="0" shrinkToFit="0" vertical="bottom" wrapText="0"/>
    </xf>
    <xf borderId="0" fillId="0" fontId="17" numFmtId="0" xfId="0" applyAlignment="1" applyFont="1">
      <alignment shrinkToFit="0" vertical="bottom" wrapText="0"/>
    </xf>
    <xf borderId="13" fillId="0" fontId="17" numFmtId="182" xfId="0" applyAlignment="1" applyBorder="1" applyFont="1" applyNumberFormat="1">
      <alignment horizontal="center" readingOrder="0" shrinkToFit="0" vertical="bottom" wrapText="0"/>
    </xf>
    <xf borderId="0" fillId="0" fontId="17" numFmtId="182" xfId="0" applyAlignment="1" applyFont="1" applyNumberFormat="1">
      <alignment horizontal="center" readingOrder="0" shrinkToFit="0" vertical="bottom" wrapText="0"/>
    </xf>
    <xf borderId="0" fillId="0" fontId="17" numFmtId="0" xfId="0" applyAlignment="1" applyFont="1">
      <alignment horizontal="right" readingOrder="0" shrinkToFit="0" vertical="bottom" wrapText="0"/>
    </xf>
    <xf borderId="0" fillId="0" fontId="1" numFmtId="182" xfId="0" applyAlignment="1" applyFont="1" applyNumberFormat="1">
      <alignment horizontal="center"/>
    </xf>
    <xf borderId="0" fillId="0" fontId="17" numFmtId="0" xfId="0" applyAlignment="1" applyFont="1">
      <alignment horizontal="center" readingOrder="0" shrinkToFit="0" vertical="bottom" wrapText="0"/>
    </xf>
    <xf borderId="0" fillId="0" fontId="17" numFmtId="0" xfId="0" applyAlignment="1" applyFont="1">
      <alignment horizontal="center" shrinkToFit="0" vertical="bottom" wrapText="0"/>
    </xf>
    <xf borderId="0" fillId="0" fontId="1" numFmtId="4" xfId="0" applyAlignment="1" applyFont="1" applyNumberFormat="1">
      <alignment readingOrder="0"/>
    </xf>
    <xf borderId="0" fillId="0" fontId="1" numFmtId="169" xfId="0" applyAlignment="1" applyFont="1" applyNumberFormat="1">
      <alignment horizontal="left" readingOrder="0"/>
    </xf>
    <xf borderId="0" fillId="0" fontId="1" numFmtId="166" xfId="0" applyAlignment="1" applyFont="1" applyNumberFormat="1">
      <alignment horizontal="left"/>
    </xf>
    <xf borderId="0" fillId="0" fontId="1" numFmtId="166" xfId="0" applyFont="1" applyNumberFormat="1"/>
    <xf borderId="0" fillId="9" fontId="13" numFmtId="166" xfId="0" applyAlignment="1" applyFont="1" applyNumberFormat="1">
      <alignment horizontal="left" vertical="bottom"/>
    </xf>
    <xf borderId="0" fillId="9" fontId="13" numFmtId="166" xfId="0" applyAlignment="1" applyFont="1" applyNumberFormat="1">
      <alignment horizontal="left" readingOrder="0" vertical="bottom"/>
    </xf>
    <xf borderId="0" fillId="0" fontId="50" numFmtId="166" xfId="0" applyAlignment="1" applyFont="1" applyNumberFormat="1">
      <alignment horizontal="left"/>
    </xf>
    <xf borderId="0" fillId="9" fontId="67" numFmtId="166" xfId="0" applyAlignment="1" applyFont="1" applyNumberFormat="1">
      <alignment readingOrder="0"/>
    </xf>
    <xf borderId="14" fillId="7" fontId="48" numFmtId="0" xfId="0" applyAlignment="1" applyBorder="1" applyFont="1">
      <alignment shrinkToFit="0" vertical="bottom" wrapText="0"/>
    </xf>
    <xf borderId="0" fillId="7" fontId="41" numFmtId="0" xfId="0" applyAlignment="1" applyFont="1">
      <alignment vertical="bottom"/>
    </xf>
    <xf borderId="3" fillId="0" fontId="51" numFmtId="0" xfId="0" applyAlignment="1" applyBorder="1" applyFont="1">
      <alignment vertical="bottom"/>
    </xf>
    <xf borderId="3" fillId="0" fontId="41" numFmtId="0" xfId="0" applyAlignment="1" applyBorder="1" applyFont="1">
      <alignment vertical="bottom"/>
    </xf>
    <xf borderId="0" fillId="29" fontId="41" numFmtId="0" xfId="0" applyAlignment="1" applyFill="1" applyFont="1">
      <alignment vertical="bottom"/>
    </xf>
    <xf borderId="0" fillId="29" fontId="51" numFmtId="0" xfId="0" applyAlignment="1" applyFont="1">
      <alignment horizontal="center" vertical="bottom"/>
    </xf>
    <xf borderId="0" fillId="30" fontId="41" numFmtId="0" xfId="0" applyAlignment="1" applyFill="1" applyFont="1">
      <alignment vertical="bottom"/>
    </xf>
    <xf borderId="14" fillId="0" fontId="51" numFmtId="0" xfId="0" applyAlignment="1" applyBorder="1" applyFont="1">
      <alignment shrinkToFit="0" vertical="bottom" wrapText="0"/>
    </xf>
    <xf borderId="14" fillId="0" fontId="51" numFmtId="0" xfId="0" applyAlignment="1" applyBorder="1" applyFont="1">
      <alignment vertical="bottom"/>
    </xf>
    <xf borderId="0" fillId="26" fontId="41" numFmtId="0" xfId="0" applyAlignment="1" applyFont="1">
      <alignment vertical="bottom"/>
    </xf>
    <xf borderId="14" fillId="0" fontId="51" numFmtId="0" xfId="0" applyAlignment="1" applyBorder="1" applyFont="1">
      <alignment readingOrder="0" shrinkToFit="0" vertical="bottom" wrapText="0"/>
    </xf>
    <xf borderId="0" fillId="0" fontId="41" numFmtId="165" xfId="0" applyAlignment="1" applyFont="1" applyNumberFormat="1">
      <alignment vertical="bottom"/>
    </xf>
    <xf borderId="0" fillId="0" fontId="51" numFmtId="0" xfId="0" applyAlignment="1" applyFont="1">
      <alignment vertical="bottom"/>
    </xf>
    <xf borderId="0" fillId="0" fontId="51" numFmtId="0" xfId="0" applyAlignment="1" applyFont="1">
      <alignment vertical="bottom"/>
    </xf>
    <xf borderId="0" fillId="9" fontId="67" numFmtId="0" xfId="0" applyAlignment="1" applyFont="1">
      <alignment readingOrder="0"/>
    </xf>
    <xf borderId="14" fillId="0" fontId="41" numFmtId="0" xfId="0" applyAlignment="1" applyBorder="1" applyFont="1">
      <alignment vertical="bottom"/>
    </xf>
    <xf borderId="0" fillId="0" fontId="41" numFmtId="3" xfId="0" applyAlignment="1" applyFont="1" applyNumberFormat="1">
      <alignment readingOrder="0" vertical="bottom"/>
    </xf>
    <xf borderId="0" fillId="0" fontId="50" numFmtId="0" xfId="0" applyAlignment="1" applyFont="1">
      <alignment vertical="bottom"/>
    </xf>
    <xf borderId="0" fillId="0" fontId="17" numFmtId="4" xfId="0" applyAlignment="1" applyFont="1" applyNumberFormat="1">
      <alignment readingOrder="0" shrinkToFit="0" vertical="bottom" wrapText="0"/>
    </xf>
    <xf borderId="0" fillId="0" fontId="8" numFmtId="166" xfId="0" applyAlignment="1" applyFont="1" applyNumberFormat="1">
      <alignment horizontal="left" readingOrder="0"/>
    </xf>
    <xf borderId="0" fillId="31" fontId="44" numFmtId="0" xfId="0" applyAlignment="1" applyFill="1" applyFont="1">
      <alignment readingOrder="0" shrinkToFit="0" vertical="bottom" wrapText="0"/>
    </xf>
    <xf borderId="0" fillId="31" fontId="44" numFmtId="178" xfId="0" applyAlignment="1" applyFont="1" applyNumberFormat="1">
      <alignment readingOrder="0" shrinkToFit="0" vertical="bottom" wrapText="0"/>
    </xf>
    <xf borderId="0" fillId="31" fontId="44" numFmtId="0" xfId="0" applyAlignment="1" applyFont="1">
      <alignment readingOrder="0" vertical="bottom"/>
    </xf>
    <xf borderId="0" fillId="0" fontId="36" numFmtId="0" xfId="0" applyAlignment="1" applyFont="1">
      <alignment readingOrder="0" shrinkToFit="0" vertical="bottom" wrapText="0"/>
    </xf>
    <xf borderId="0" fillId="0" fontId="36" numFmtId="169" xfId="0" applyAlignment="1" applyFont="1" applyNumberFormat="1">
      <alignment horizontal="right" readingOrder="0" shrinkToFit="0" vertical="bottom" wrapText="0"/>
    </xf>
    <xf borderId="0" fillId="0" fontId="36" numFmtId="185" xfId="0" applyAlignment="1" applyFont="1" applyNumberFormat="1">
      <alignment horizontal="right" readingOrder="0" shrinkToFit="0" vertical="bottom" wrapText="0"/>
    </xf>
    <xf borderId="0" fillId="0" fontId="36" numFmtId="178" xfId="0" applyAlignment="1" applyFont="1" applyNumberFormat="1">
      <alignment horizontal="right" readingOrder="0" shrinkToFit="0" vertical="bottom" wrapText="0"/>
    </xf>
    <xf borderId="0" fillId="0" fontId="68" numFmtId="0" xfId="0" applyAlignment="1" applyFont="1">
      <alignment readingOrder="0" shrinkToFit="0" vertical="bottom" wrapText="0"/>
    </xf>
    <xf quotePrefix="1" borderId="0" fillId="0" fontId="36" numFmtId="0" xfId="0" applyAlignment="1" applyFont="1">
      <alignment readingOrder="0" shrinkToFit="0" vertical="bottom" wrapText="0"/>
    </xf>
    <xf borderId="5" fillId="0" fontId="1" numFmtId="178" xfId="0" applyAlignment="1" applyBorder="1" applyFont="1" applyNumberFormat="1">
      <alignment horizontal="center"/>
    </xf>
    <xf borderId="0" fillId="0" fontId="1" numFmtId="178" xfId="0" applyAlignment="1" applyFont="1" applyNumberFormat="1">
      <alignment horizontal="center"/>
    </xf>
    <xf borderId="0" fillId="0" fontId="44" numFmtId="0" xfId="0" applyAlignment="1" applyFont="1">
      <alignment horizontal="center" readingOrder="0" shrinkToFit="0" vertical="bottom" wrapText="0"/>
    </xf>
    <xf borderId="0" fillId="0" fontId="44" numFmtId="166" xfId="0" applyAlignment="1" applyFont="1" applyNumberFormat="1">
      <alignment horizontal="center" readingOrder="0" shrinkToFit="0" vertical="bottom" wrapText="0"/>
    </xf>
    <xf borderId="0" fillId="0" fontId="36" numFmtId="0" xfId="0" applyAlignment="1" applyFont="1">
      <alignment horizontal="left" readingOrder="0" shrinkToFit="0" vertical="bottom" wrapText="0"/>
    </xf>
    <xf borderId="0" fillId="0" fontId="36" numFmtId="166" xfId="0" applyAlignment="1" applyFont="1" applyNumberFormat="1">
      <alignment horizontal="right" readingOrder="0" shrinkToFit="0" vertical="bottom" wrapText="0"/>
    </xf>
    <xf borderId="0" fillId="0" fontId="36" numFmtId="169" xfId="0" applyAlignment="1" applyFont="1" applyNumberFormat="1">
      <alignment horizontal="left" readingOrder="0" shrinkToFit="0" vertical="bottom" wrapText="0"/>
    </xf>
    <xf borderId="0" fillId="0" fontId="36" numFmtId="186" xfId="0" applyAlignment="1" applyFont="1" applyNumberFormat="1">
      <alignment horizontal="left" readingOrder="0" shrinkToFit="0" vertical="bottom" wrapText="0"/>
    </xf>
    <xf borderId="0" fillId="0" fontId="1" numFmtId="166" xfId="0" applyAlignment="1" applyFont="1" applyNumberFormat="1">
      <alignment horizontal="center"/>
    </xf>
    <xf borderId="5" fillId="0" fontId="1" numFmtId="166" xfId="0" applyAlignment="1" applyBorder="1" applyFont="1" applyNumberFormat="1">
      <alignment horizontal="center"/>
    </xf>
    <xf borderId="0" fillId="0" fontId="69" numFmtId="0" xfId="0" applyAlignment="1" applyFont="1">
      <alignment horizontal="center" shrinkToFit="0" wrapText="0"/>
    </xf>
    <xf borderId="0" fillId="0" fontId="70" numFmtId="0" xfId="0" applyAlignment="1" applyFont="1">
      <alignment horizontal="center" readingOrder="0" shrinkToFit="0" wrapText="0"/>
    </xf>
    <xf borderId="0" fillId="0" fontId="71" numFmtId="177" xfId="0" applyAlignment="1" applyFont="1" applyNumberFormat="1">
      <alignment horizontal="center" readingOrder="0" shrinkToFit="0" wrapText="0"/>
    </xf>
    <xf borderId="0" fillId="0" fontId="1" numFmtId="173" xfId="0" applyAlignment="1" applyFont="1" applyNumberFormat="1">
      <alignment horizontal="center"/>
    </xf>
    <xf borderId="3" fillId="0" fontId="44" numFmtId="0" xfId="0" applyAlignment="1" applyBorder="1" applyFont="1">
      <alignment readingOrder="0" shrinkToFit="0" vertical="bottom" wrapText="0"/>
    </xf>
    <xf borderId="3" fillId="0" fontId="44" numFmtId="0" xfId="0" applyAlignment="1" applyBorder="1" applyFont="1">
      <alignment horizontal="center" readingOrder="0" shrinkToFit="0" vertical="bottom" wrapText="0"/>
    </xf>
    <xf borderId="3" fillId="0" fontId="44" numFmtId="166" xfId="0" applyAlignment="1" applyBorder="1" applyFont="1" applyNumberFormat="1">
      <alignment readingOrder="0" shrinkToFit="0" vertical="bottom" wrapText="0"/>
    </xf>
    <xf borderId="0" fillId="0" fontId="44" numFmtId="0" xfId="0" applyAlignment="1" applyFont="1">
      <alignment readingOrder="0" shrinkToFit="0" vertical="bottom" wrapText="0"/>
    </xf>
    <xf borderId="0" fillId="0" fontId="36" numFmtId="0" xfId="0" applyAlignment="1" applyFont="1">
      <alignment horizontal="right" readingOrder="0" shrinkToFit="0" vertical="bottom" wrapText="0"/>
    </xf>
    <xf borderId="0" fillId="0" fontId="36" numFmtId="166" xfId="0" applyAlignment="1" applyFont="1" applyNumberFormat="1">
      <alignment readingOrder="0" shrinkToFit="0" vertical="bottom" wrapText="0"/>
    </xf>
    <xf borderId="0" fillId="0" fontId="36" numFmtId="171" xfId="0" applyAlignment="1" applyFont="1" applyNumberFormat="1">
      <alignment readingOrder="0" shrinkToFit="0" vertical="bottom" wrapText="0"/>
    </xf>
    <xf borderId="0" fillId="0" fontId="36" numFmtId="11" xfId="0" applyAlignment="1" applyFont="1" applyNumberFormat="1">
      <alignment horizontal="right" readingOrder="0" shrinkToFit="0" vertical="bottom" wrapText="0"/>
    </xf>
    <xf quotePrefix="1" borderId="0" fillId="0" fontId="36" numFmtId="0" xfId="0" applyAlignment="1" applyFont="1">
      <alignment horizontal="right" readingOrder="0" shrinkToFit="0" vertical="bottom" wrapText="0"/>
    </xf>
    <xf borderId="3" fillId="0" fontId="36" numFmtId="166" xfId="0" applyAlignment="1" applyBorder="1" applyFont="1" applyNumberFormat="1">
      <alignment horizontal="right" readingOrder="0" shrinkToFit="0" vertical="bottom" wrapText="0"/>
    </xf>
    <xf borderId="0" fillId="0" fontId="36" numFmtId="173" xfId="0" applyAlignment="1" applyFont="1" applyNumberFormat="1">
      <alignment horizontal="center" shrinkToFit="0" vertical="bottom" wrapText="0"/>
    </xf>
    <xf borderId="0" fillId="0" fontId="36" numFmtId="0" xfId="0" applyAlignment="1" applyFont="1">
      <alignment shrinkToFit="0" vertical="bottom" wrapText="0"/>
    </xf>
  </cellXfs>
  <cellStyles count="1">
    <cellStyle xfId="0" name="Normal" builtinId="0"/>
  </cellStyles>
  <dxfs count="2">
    <dxf>
      <font>
        <color theme="5"/>
      </font>
      <fill>
        <patternFill patternType="none"/>
      </fill>
      <border/>
    </dxf>
    <dxf>
      <font>
        <color rgb="FF00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pivotCacheDefinition" Target="pivotCache/pivotCacheDefinition2.xml"/><Relationship Id="rId27" Type="http://schemas.openxmlformats.org/officeDocument/2006/relationships/pivotCacheDefinition" Target="pivotCache/pivotCacheDefinition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2797466077302633"/>
          <c:y val="0.07056451612903226"/>
          <c:w val="0.5817292865953947"/>
          <c:h val="0.6752168861151752"/>
        </c:manualLayout>
      </c:layout>
      <c:lineChart>
        <c:ser>
          <c:idx val="0"/>
          <c:order val="0"/>
          <c:tx>
            <c:strRef>
              <c:f>'Chart Mix'!$A$10:$B$10</c:f>
            </c:strRef>
          </c:tx>
          <c:spPr>
            <a:ln cmpd="sng" w="9525">
              <a:solidFill>
                <a:srgbClr val="4285F4"/>
              </a:solidFill>
              <a:prstDash val="solid"/>
            </a:ln>
          </c:spPr>
          <c:marker>
            <c:symbol val="none"/>
          </c:marker>
          <c:cat>
            <c:strRef>
              <c:f>'Chart Mix'!$C$9:$N$9</c:f>
            </c:strRef>
          </c:cat>
          <c:val>
            <c:numRef>
              <c:f>'Chart Mix'!$C$10:$N$10</c:f>
              <c:numCache/>
            </c:numRef>
          </c:val>
          <c:smooth val="0"/>
        </c:ser>
        <c:ser>
          <c:idx val="1"/>
          <c:order val="1"/>
          <c:tx>
            <c:strRef>
              <c:f>'Chart Mix'!$A$11:$B$11</c:f>
            </c:strRef>
          </c:tx>
          <c:spPr>
            <a:ln cmpd="sng" w="9525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'Chart Mix'!$C$9:$N$9</c:f>
            </c:strRef>
          </c:cat>
          <c:val>
            <c:numRef>
              <c:f>'Chart Mix'!$C$11:$N$11</c:f>
              <c:numCache/>
            </c:numRef>
          </c:val>
          <c:smooth val="0"/>
        </c:ser>
        <c:ser>
          <c:idx val="2"/>
          <c:order val="2"/>
          <c:tx>
            <c:strRef>
              <c:f>'Chart Mix'!$A$12:$B$12</c:f>
            </c:strRef>
          </c:tx>
          <c:spPr>
            <a:ln cmpd="sng" w="9525">
              <a:solidFill>
                <a:srgbClr val="FBBC04"/>
              </a:solidFill>
              <a:prstDash val="solid"/>
            </a:ln>
          </c:spPr>
          <c:marker>
            <c:symbol val="none"/>
          </c:marker>
          <c:cat>
            <c:strRef>
              <c:f>'Chart Mix'!$C$9:$N$9</c:f>
            </c:strRef>
          </c:cat>
          <c:val>
            <c:numRef>
              <c:f>'Chart Mix'!$C$12:$N$12</c:f>
              <c:numCache/>
            </c:numRef>
          </c:val>
          <c:smooth val="0"/>
        </c:ser>
        <c:ser>
          <c:idx val="3"/>
          <c:order val="3"/>
          <c:tx>
            <c:strRef>
              <c:f>'Chart Mix'!$A$13:$B$13</c:f>
            </c:strRef>
          </c:tx>
          <c:spPr>
            <a:ln cmpd="sng"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'Chart Mix'!$C$9:$N$9</c:f>
            </c:strRef>
          </c:cat>
          <c:val>
            <c:numRef>
              <c:f>'Chart Mix'!$C$13:$N$13</c:f>
              <c:numCache/>
            </c:numRef>
          </c:val>
          <c:smooth val="0"/>
        </c:ser>
        <c:ser>
          <c:idx val="4"/>
          <c:order val="4"/>
          <c:tx>
            <c:strRef>
              <c:f>'Chart Mix'!$A$14:$B$14</c:f>
            </c:strRef>
          </c:tx>
          <c:spPr>
            <a:ln cmpd="sng"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'Chart Mix'!$C$9:$N$9</c:f>
            </c:strRef>
          </c:cat>
          <c:val>
            <c:numRef>
              <c:f>'Chart Mix'!$C$14:$N$14</c:f>
              <c:numCache/>
            </c:numRef>
          </c:val>
          <c:smooth val="0"/>
        </c:ser>
        <c:ser>
          <c:idx val="5"/>
          <c:order val="5"/>
          <c:tx>
            <c:strRef>
              <c:f>'Chart Mix'!$A$15:$B$15</c:f>
            </c:strRef>
          </c:tx>
          <c:spPr>
            <a:ln cmpd="sng"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'Chart Mix'!$C$9:$N$9</c:f>
            </c:strRef>
          </c:cat>
          <c:val>
            <c:numRef>
              <c:f>'Chart Mix'!$C$15:$N$15</c:f>
              <c:numCache/>
            </c:numRef>
          </c:val>
          <c:smooth val="0"/>
        </c:ser>
        <c:axId val="782061859"/>
        <c:axId val="1200202910"/>
      </c:lineChart>
      <c:catAx>
        <c:axId val="7820618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00202910"/>
      </c:catAx>
      <c:valAx>
        <c:axId val="120020291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$#,###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82061859"/>
      </c:valAx>
    </c:plotArea>
    <c:legend>
      <c:legendPos val="r"/>
      <c:legendEntry>
        <c:idx val="3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4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5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ayout>
        <c:manualLayout>
          <c:xMode val="edge"/>
          <c:yMode val="edge"/>
          <c:x val="0.7119522237743331"/>
          <c:y val="0.25213530614975815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Roboto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2797466077302633"/>
          <c:y val="0.09330985915492958"/>
          <c:w val="0.5249756497859799"/>
          <c:h val="0.6524715430892777"/>
        </c:manualLayout>
      </c:layout>
      <c:lineChart>
        <c:ser>
          <c:idx val="0"/>
          <c:order val="0"/>
          <c:tx>
            <c:strRef>
              <c:f>'Chart Mix'!$A$62:$B$62</c:f>
            </c:strRef>
          </c:tx>
          <c:spPr>
            <a:ln cmpd="sng" w="9525">
              <a:solidFill>
                <a:srgbClr val="9900FF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Mix'!$C$62:$N$62</c:f>
              <c:numCache/>
            </c:numRef>
          </c:val>
          <c:smooth val="0"/>
        </c:ser>
        <c:ser>
          <c:idx val="1"/>
          <c:order val="1"/>
          <c:tx>
            <c:strRef>
              <c:f>'Chart Mix'!$A$63:$B$63</c:f>
            </c:strRef>
          </c:tx>
          <c:spPr>
            <a:ln cmpd="sng" w="9525">
              <a:solidFill>
                <a:srgbClr val="9900FF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Mix'!$C$63:$N$63</c:f>
              <c:numCache/>
            </c:numRef>
          </c:val>
          <c:smooth val="0"/>
        </c:ser>
        <c:ser>
          <c:idx val="2"/>
          <c:order val="2"/>
          <c:tx>
            <c:strRef>
              <c:f>'Chart Mix'!$A$64:$B$64</c:f>
            </c:strRef>
          </c:tx>
          <c:spPr>
            <a:ln cmpd="sng" w="9525">
              <a:solidFill>
                <a:srgbClr val="FBBC04"/>
              </a:solidFill>
              <a:prstDash val="solid"/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Mix'!$C$64:$N$64</c:f>
              <c:numCache/>
            </c:numRef>
          </c:val>
          <c:smooth val="0"/>
        </c:ser>
        <c:ser>
          <c:idx val="3"/>
          <c:order val="3"/>
          <c:tx>
            <c:strRef>
              <c:f>'Chart Mix'!$A$65:$B$65</c:f>
            </c:strRef>
          </c:tx>
          <c:spPr>
            <a:ln cmpd="sng" w="9525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Mix'!$C$65:$N$65</c:f>
              <c:numCache/>
            </c:numRef>
          </c:val>
          <c:smooth val="0"/>
        </c:ser>
        <c:ser>
          <c:idx val="4"/>
          <c:order val="4"/>
          <c:tx>
            <c:strRef>
              <c:f>'Chart Mix'!$A$66:$B$66</c:f>
            </c:strRef>
          </c:tx>
          <c:spPr>
            <a:ln cmpd="sng" w="952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Mix'!$C$66:$N$66</c:f>
              <c:numCache/>
            </c:numRef>
          </c:val>
          <c:smooth val="0"/>
        </c:ser>
        <c:ser>
          <c:idx val="5"/>
          <c:order val="5"/>
          <c:tx>
            <c:strRef>
              <c:f>'Chart Mix'!$A$67:$B$67</c:f>
            </c:strRef>
          </c:tx>
          <c:spPr>
            <a:ln cmpd="sng" w="9525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Mix'!$C$67:$N$67</c:f>
              <c:numCache/>
            </c:numRef>
          </c:val>
          <c:smooth val="0"/>
        </c:ser>
        <c:ser>
          <c:idx val="6"/>
          <c:order val="6"/>
          <c:tx>
            <c:strRef>
              <c:f>'Chart Mix'!$A$68:$B$68</c:f>
            </c:strRef>
          </c:tx>
          <c:spPr>
            <a:ln cmpd="sng" w="9525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Mix'!$C$68:$N$68</c:f>
              <c:numCache/>
            </c:numRef>
          </c:val>
          <c:smooth val="0"/>
        </c:ser>
        <c:ser>
          <c:idx val="7"/>
          <c:order val="7"/>
          <c:tx>
            <c:strRef>
              <c:f>'Chart Mix'!$A$69:$B$69</c:f>
            </c:strRef>
          </c:tx>
          <c:spPr>
            <a:ln cmpd="sng" w="952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Mix'!$C$69:$N$69</c:f>
              <c:numCache/>
            </c:numRef>
          </c:val>
          <c:smooth val="0"/>
        </c:ser>
        <c:ser>
          <c:idx val="8"/>
          <c:order val="8"/>
          <c:tx>
            <c:strRef>
              <c:f>'Chart Mix'!$A$70:$B$70</c:f>
            </c:strRef>
          </c:tx>
          <c:spPr>
            <a:ln cmpd="sng" w="9525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Mix'!$C$70:$N$70</c:f>
              <c:numCache/>
            </c:numRef>
          </c:val>
          <c:smooth val="0"/>
        </c:ser>
        <c:ser>
          <c:idx val="9"/>
          <c:order val="9"/>
          <c:tx>
            <c:strRef>
              <c:f>'Chart Mix'!$A$71:$B$71</c:f>
            </c:strRef>
          </c:tx>
          <c:spPr>
            <a:ln cmpd="sng" w="38100">
              <a:solidFill>
                <a:srgbClr val="99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Mix'!$C$71:$N$71</c:f>
              <c:numCache/>
            </c:numRef>
          </c:val>
          <c:smooth val="0"/>
        </c:ser>
        <c:ser>
          <c:idx val="10"/>
          <c:order val="10"/>
          <c:tx>
            <c:strRef>
              <c:f>'Chart Mix'!$A$72:$B$72</c:f>
            </c:strRef>
          </c:tx>
          <c:spPr>
            <a:ln cmpd="sng" w="38100">
              <a:solidFill>
                <a:srgbClr val="99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Mix'!$C$72:$N$72</c:f>
              <c:numCache/>
            </c:numRef>
          </c:val>
          <c:smooth val="0"/>
        </c:ser>
        <c:ser>
          <c:idx val="11"/>
          <c:order val="11"/>
          <c:tx>
            <c:strRef>
              <c:f>'Chart Mix'!$A$73:$B$73</c:f>
            </c:strRef>
          </c:tx>
          <c:spPr>
            <a:ln cmpd="sng"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Mix'!$C$73:$N$73</c:f>
              <c:numCache/>
            </c:numRef>
          </c:val>
          <c:smooth val="0"/>
        </c:ser>
        <c:ser>
          <c:idx val="12"/>
          <c:order val="12"/>
          <c:tx>
            <c:strRef>
              <c:f>'Chart Mix'!$A$74:$B$74</c:f>
            </c:strRef>
          </c:tx>
          <c:spPr>
            <a:ln cmpd="sng"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Mix'!$C$74:$N$74</c:f>
              <c:numCache/>
            </c:numRef>
          </c:val>
          <c:smooth val="0"/>
        </c:ser>
        <c:ser>
          <c:idx val="13"/>
          <c:order val="13"/>
          <c:tx>
            <c:strRef>
              <c:f>'Chart Mix'!$A$75:$B$75</c:f>
            </c:strRef>
          </c:tx>
          <c:spPr>
            <a:ln cmpd="sng"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Mix'!$C$75:$N$75</c:f>
              <c:numCache/>
            </c:numRef>
          </c:val>
          <c:smooth val="0"/>
        </c:ser>
        <c:ser>
          <c:idx val="14"/>
          <c:order val="14"/>
          <c:tx>
            <c:strRef>
              <c:f>'Chart Mix'!$A$76:$B$76</c:f>
            </c:strRef>
          </c:tx>
          <c:spPr>
            <a:ln cmpd="sng"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Mix'!$C$76:$N$76</c:f>
              <c:numCache/>
            </c:numRef>
          </c:val>
          <c:smooth val="0"/>
        </c:ser>
        <c:ser>
          <c:idx val="15"/>
          <c:order val="15"/>
          <c:tx>
            <c:strRef>
              <c:f>'Chart Mix'!$A$77:$B$77</c:f>
            </c:strRef>
          </c:tx>
          <c:spPr>
            <a:ln cmpd="sng"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Mix'!$C$77:$N$77</c:f>
              <c:numCache/>
            </c:numRef>
          </c:val>
          <c:smooth val="0"/>
        </c:ser>
        <c:ser>
          <c:idx val="16"/>
          <c:order val="16"/>
          <c:tx>
            <c:strRef>
              <c:f>'Chart Mix'!$A$78:$B$78</c:f>
            </c:strRef>
          </c:tx>
          <c:spPr>
            <a:ln cmpd="sng"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Mix'!$C$78:$N$78</c:f>
              <c:numCache/>
            </c:numRef>
          </c:val>
          <c:smooth val="0"/>
        </c:ser>
        <c:ser>
          <c:idx val="17"/>
          <c:order val="17"/>
          <c:tx>
            <c:strRef>
              <c:f>'Chart Mix'!$A$79:$B$79</c:f>
            </c:strRef>
          </c:tx>
          <c:spPr>
            <a:ln cmpd="sng"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'Chart Mix'!$C$61:$N$61</c:f>
            </c:strRef>
          </c:cat>
          <c:val>
            <c:numRef>
              <c:f>'Chart Mix'!$C$79:$N$79</c:f>
              <c:numCache/>
            </c:numRef>
          </c:val>
          <c:smooth val="0"/>
        </c:ser>
        <c:axId val="2053189516"/>
        <c:axId val="149887338"/>
      </c:lineChart>
      <c:catAx>
        <c:axId val="20531895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49887338"/>
      </c:catAx>
      <c:valAx>
        <c:axId val="149887338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$#,###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53189516"/>
      </c:valAx>
    </c:plotArea>
    <c:legend>
      <c:legendPos val="r"/>
      <c:legendEntry>
        <c:idx val="9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0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1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2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3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4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5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6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egendEntry>
        <c:idx val="17"/>
        <c:txPr>
          <a:bodyPr/>
          <a:lstStyle/>
          <a:p>
            <a:pPr lvl="0">
              <a:defRPr>
                <a:solidFill>
                  <a:srgbClr val="FFFFFF"/>
                </a:solidFill>
              </a:defRPr>
            </a:pPr>
          </a:p>
        </c:txPr>
      </c:legendEntry>
      <c:layout>
        <c:manualLayout>
          <c:xMode val="edge"/>
          <c:yMode val="edge"/>
          <c:x val="0.6531905062841911"/>
          <c:y val="0.06574275730832244"/>
        </c:manualLayout>
      </c:layout>
      <c:overlay val="0"/>
      <c:txPr>
        <a:bodyPr/>
        <a:lstStyle/>
        <a:p>
          <a:pPr lvl="0">
            <a:defRPr b="0" sz="1200">
              <a:solidFill>
                <a:srgbClr val="1A1A1A"/>
              </a:solidFill>
              <a:latin typeface="Roboto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2797466077302633"/>
          <c:y val="0.0625"/>
          <c:w val="0.5817292865953947"/>
          <c:h val="0.6832814022442074"/>
        </c:manualLayout>
      </c:layout>
      <c:lineChart>
        <c:ser>
          <c:idx val="0"/>
          <c:order val="0"/>
          <c:tx>
            <c:strRef>
              <c:f>'Chart Mix'!$A$157</c:f>
            </c:strRef>
          </c:tx>
          <c:spPr>
            <a:ln cmpd="sng" w="9525">
              <a:solidFill>
                <a:schemeClr val="accent4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circle"/>
              <c:size val="2"/>
              <c:spPr>
                <a:solidFill>
                  <a:srgbClr val="4285F4"/>
                </a:solidFill>
                <a:ln cmpd="sng">
                  <a:solidFill>
                    <a:srgbClr val="4285F4"/>
                  </a:solidFill>
                </a:ln>
              </c:spPr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'Chart Mix'!$B$156:$N$156</c:f>
            </c:strRef>
          </c:cat>
          <c:val>
            <c:numRef>
              <c:f>'Chart Mix'!$B$157:$N$157</c:f>
              <c:numCache/>
            </c:numRef>
          </c:val>
          <c:smooth val="0"/>
        </c:ser>
        <c:ser>
          <c:idx val="1"/>
          <c:order val="1"/>
          <c:tx>
            <c:strRef>
              <c:f>'Chart Mix'!$A$158</c:f>
            </c:strRef>
          </c:tx>
          <c:spPr>
            <a:ln cmpd="sng"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circle"/>
              <c:size val="7"/>
              <c:spPr>
                <a:solidFill>
                  <a:schemeClr val="dk1"/>
                </a:solidFill>
                <a:ln cmpd="sng">
                  <a:solidFill>
                    <a:schemeClr val="dk1"/>
                  </a:solidFill>
                </a:ln>
              </c:spPr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'Chart Mix'!$B$156:$N$156</c:f>
            </c:strRef>
          </c:cat>
          <c:val>
            <c:numRef>
              <c:f>'Chart Mix'!$B$158:$N$158</c:f>
              <c:numCache/>
            </c:numRef>
          </c:val>
          <c:smooth val="0"/>
        </c:ser>
        <c:ser>
          <c:idx val="2"/>
          <c:order val="2"/>
          <c:tx>
            <c:strRef>
              <c:f>'Chart Mix'!$A$159</c:f>
            </c:strRef>
          </c:tx>
          <c:spPr>
            <a:ln cmpd="sng" w="19050">
              <a:solidFill>
                <a:srgbClr val="FBBC04"/>
              </a:solidFill>
              <a:prstDash val="dash"/>
            </a:ln>
          </c:spPr>
          <c:marker>
            <c:symbol val="none"/>
          </c:marker>
          <c:dPt>
            <c:idx val="6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Lbls>
            <c:dLbl>
              <c:idx val="6"/>
              <c:numFmt formatCode="General" sourceLinked="1"/>
              <c:txPr>
                <a:bodyPr/>
                <a:lstStyle/>
                <a:p>
                  <a:pPr lvl="0">
                    <a:defRPr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'Chart Mix'!$B$156:$N$156</c:f>
            </c:strRef>
          </c:cat>
          <c:val>
            <c:numRef>
              <c:f>'Chart Mix'!$B$159:$N$159</c:f>
              <c:numCache/>
            </c:numRef>
          </c:val>
          <c:smooth val="0"/>
        </c:ser>
        <c:axId val="1890771054"/>
        <c:axId val="957445902"/>
      </c:lineChart>
      <c:catAx>
        <c:axId val="18907710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57445902"/>
      </c:catAx>
      <c:valAx>
        <c:axId val="9574459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$#,###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9077105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Roboto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2797466077302633"/>
          <c:y val="0.07862903225806452"/>
          <c:w val="0.5817292865953947"/>
          <c:h val="0.6671523699861429"/>
        </c:manualLayout>
      </c:layout>
      <c:lineChart>
        <c:ser>
          <c:idx val="0"/>
          <c:order val="0"/>
          <c:tx>
            <c:strRef>
              <c:f>'Chart Mix'!$A$131</c:f>
            </c:strRef>
          </c:tx>
          <c:spPr>
            <a:ln cmpd="sng" w="9525">
              <a:solidFill>
                <a:schemeClr val="accent4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circle"/>
              <c:size val="2"/>
              <c:spPr>
                <a:solidFill>
                  <a:schemeClr val="dk1"/>
                </a:solidFill>
                <a:ln cmpd="sng">
                  <a:solidFill>
                    <a:schemeClr val="dk1"/>
                  </a:solidFill>
                </a:ln>
              </c:spPr>
            </c:marker>
          </c:dPt>
          <c:dPt>
            <c:idx val="12"/>
            <c:marker>
              <c:symbol val="none"/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'Chart Mix'!$B$130:$N$130</c:f>
            </c:strRef>
          </c:cat>
          <c:val>
            <c:numRef>
              <c:f>'Chart Mix'!$B$131:$N$131</c:f>
              <c:numCache/>
            </c:numRef>
          </c:val>
          <c:smooth val="0"/>
        </c:ser>
        <c:ser>
          <c:idx val="1"/>
          <c:order val="1"/>
          <c:tx>
            <c:strRef>
              <c:f>'Chart Mix'!$A$132</c:f>
            </c:strRef>
          </c:tx>
          <c:spPr>
            <a:ln cmpd="sng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circle"/>
              <c:size val="7"/>
              <c:spPr>
                <a:solidFill>
                  <a:schemeClr val="dk1"/>
                </a:solidFill>
                <a:ln cmpd="sng">
                  <a:solidFill>
                    <a:schemeClr val="dk1"/>
                  </a:solidFill>
                </a:ln>
              </c:spPr>
            </c:marker>
          </c:dPt>
          <c:dLbls>
            <c:dLbl>
              <c:idx val="6"/>
              <c:numFmt formatCode="General" sourceLinked="1"/>
              <c:txPr>
                <a:bodyPr/>
                <a:lstStyle/>
                <a:p>
                  <a:pPr lvl="0">
                    <a:defRPr b="0"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General" sourceLinked="1"/>
              <c:txPr>
                <a:bodyPr/>
                <a:lstStyle/>
                <a:p>
                  <a:pPr lvl="0">
                    <a:defRPr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'Chart Mix'!$B$130:$N$130</c:f>
            </c:strRef>
          </c:cat>
          <c:val>
            <c:numRef>
              <c:f>'Chart Mix'!$B$132:$N$132</c:f>
              <c:numCache/>
            </c:numRef>
          </c:val>
          <c:smooth val="0"/>
        </c:ser>
        <c:axId val="514943369"/>
        <c:axId val="1590343855"/>
      </c:lineChart>
      <c:catAx>
        <c:axId val="5149433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90343855"/>
      </c:catAx>
      <c:valAx>
        <c:axId val="15903438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$#,###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51494336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Roboto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200025</xdr:rowOff>
    </xdr:from>
    <xdr:ext cx="1819275" cy="552450"/>
    <xdr:grpSp>
      <xdr:nvGrpSpPr>
        <xdr:cNvPr id="2" name="Shape 2" title="Drawing"/>
        <xdr:cNvGrpSpPr/>
      </xdr:nvGrpSpPr>
      <xdr:grpSpPr>
        <a:xfrm>
          <a:off x="768150" y="1672596"/>
          <a:ext cx="3566375" cy="1087725"/>
          <a:chOff x="768150" y="1672596"/>
          <a:chExt cx="3566375" cy="1087725"/>
        </a:xfrm>
      </xdr:grpSpPr>
      <xdr:pic>
        <xdr:nvPicPr>
          <xdr:cNvPr id="3" name="Shape 3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768150" y="1672596"/>
            <a:ext cx="3566375" cy="108772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2</xdr:col>
      <xdr:colOff>942975</xdr:colOff>
      <xdr:row>92</xdr:row>
      <xdr:rowOff>19050</xdr:rowOff>
    </xdr:from>
    <xdr:ext cx="1371600" cy="1428750"/>
    <xdr:grpSp>
      <xdr:nvGrpSpPr>
        <xdr:cNvPr id="2" name="Shape 2" title="Drawing"/>
        <xdr:cNvGrpSpPr/>
      </xdr:nvGrpSpPr>
      <xdr:grpSpPr>
        <a:xfrm>
          <a:off x="-61464" y="10"/>
          <a:ext cx="1421077" cy="1418150"/>
          <a:chOff x="-61464" y="10"/>
          <a:chExt cx="1421077" cy="1418150"/>
        </a:xfrm>
      </xdr:grpSpPr>
      <xdr:pic>
        <xdr:nvPicPr>
          <xdr:cNvPr id="4" name="Shape 4"/>
          <xdr:cNvPicPr preferRelativeResize="0"/>
        </xdr:nvPicPr>
        <xdr:blipFill>
          <a:blip r:embed="rId2">
            <a:alphaModFix/>
          </a:blip>
          <a:stretch>
            <a:fillRect/>
          </a:stretch>
        </xdr:blipFill>
        <xdr:spPr>
          <a:xfrm>
            <a:off x="-61464" y="10"/>
            <a:ext cx="1421077" cy="14181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17</xdr:row>
      <xdr:rowOff>19050</xdr:rowOff>
    </xdr:from>
    <xdr:ext cx="5686425" cy="23622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38100</xdr:colOff>
      <xdr:row>79</xdr:row>
      <xdr:rowOff>104775</xdr:rowOff>
    </xdr:from>
    <xdr:ext cx="6134100" cy="27051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38100</xdr:colOff>
      <xdr:row>160</xdr:row>
      <xdr:rowOff>19050</xdr:rowOff>
    </xdr:from>
    <xdr:ext cx="5686425" cy="23622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38100</xdr:colOff>
      <xdr:row>133</xdr:row>
      <xdr:rowOff>19050</xdr:rowOff>
    </xdr:from>
    <xdr:ext cx="5686425" cy="236220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E170" sheet="Data"/>
  </cacheSource>
  <cacheFields>
    <cacheField name="Stream" numFmtId="0">
      <sharedItems>
        <s v="Budget"/>
        <s v="Actual"/>
      </sharedItems>
    </cacheField>
    <cacheField name="Type" numFmtId="0">
      <sharedItems>
        <s v="Revenues"/>
        <s v="Expenses"/>
      </sharedItems>
    </cacheField>
    <cacheField name="Category" numFmtId="0">
      <sharedItems>
        <s v="1 Local Revenue"/>
        <s v="3 State Revenue"/>
        <s v="4 Federal Revenue"/>
        <s v="1 Salaries"/>
        <s v="2 Benefits and Taxes"/>
        <s v="6 Student Expense, Direct"/>
        <s v="7 Student Expense, Indirect"/>
        <s v="3 Staff Related"/>
        <s v="8 Office and Business"/>
        <s v="5 Occupancy Service"/>
        <s v="4 Rent"/>
        <s v="9 Transportation"/>
      </sharedItems>
    </cacheField>
    <cacheField name="Code" numFmtId="0">
      <sharedItems>
        <s v="0000-5113"/>
        <s v="0000-5151"/>
        <s v="0000-5171"/>
        <s v="0000-5192"/>
        <s v="0000-5198"/>
        <s v="0000-5311"/>
        <s v="0000-5319"/>
        <s v="0000-5412"/>
        <s v="0000-5424"/>
        <s v="0000-5441"/>
        <s v="0000-5445"/>
        <s v="0000-5446"/>
        <s v="0000-5451"/>
        <s v="0000-5461"/>
        <s v="0000-5465"/>
        <s v="0000-5497"/>
        <s v="1131-6111"/>
        <s v="1131-6211"/>
        <s v="1131-6231"/>
        <s v="1131-6232"/>
        <s v="1131-6241"/>
        <s v="1131-6319"/>
        <s v="1131-6411"/>
        <s v="1131-6412"/>
        <s v="1131-6431"/>
        <s v="1221-6151"/>
        <s v="1221-6211"/>
        <s v="1221-6231"/>
        <s v="1221-6232"/>
        <s v="1221-6241"/>
        <s v="1221-6319"/>
        <s v="1411-6131"/>
        <s v="1411-6231"/>
        <s v="1411-6232"/>
        <s v="1411-6319"/>
        <s v="1411-6411"/>
        <s v="2134-6411"/>
        <s v="2142-6319"/>
        <s v="2152-6319"/>
        <s v="2162-6319"/>
        <s v="2191-6319"/>
        <s v="2211-6319"/>
        <s v="2213-6319"/>
        <s v="2213-6343"/>
        <s v="2311-6315"/>
        <s v="2311-6317"/>
        <s v="2311-6352"/>
        <s v="2321-6271"/>
        <s v="2321-6319"/>
        <s v="2321-6371"/>
        <s v="2321-6411"/>
        <s v="2323-6411"/>
        <s v="2331-6316"/>
        <s v="2331-6338"/>
        <s v="2331-6361"/>
        <s v="2331-6412"/>
        <s v="2511-6319"/>
        <s v="2511-6411"/>
        <s v="2542-6332"/>
        <s v="2542-6333"/>
        <s v="2542-6411"/>
        <s v="2546-6319"/>
        <s v="2546-6412"/>
        <s v="2551-6341"/>
        <s v="2551-6342"/>
        <s v="2562-6319"/>
        <s v="2562-6411"/>
        <s v="2563-6319"/>
        <s v="2563-6391"/>
        <s v="2911-6319"/>
        <s v="0000-5141"/>
        <s v="0000-5161"/>
        <s v="0000-5172"/>
        <s v="0000-5471"/>
        <s v="0000-5841"/>
        <s v="2323-6319"/>
        <s v="2542-6319"/>
        <s v="1131-6337"/>
        <s v="1221-6411"/>
        <s v="2321-6343"/>
        <s v="2321-6391"/>
        <s v="2321-6412"/>
        <s v="2331-6319"/>
        <s v="2551-6319"/>
        <s v="0000-5179"/>
      </sharedItems>
    </cacheField>
    <cacheField name="7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53222.119999999995"/>
        <n v="1817.96"/>
        <n v="96724.7"/>
        <n v="489.12"/>
        <n v="2500.0"/>
        <n v="350.0"/>
        <n v="155.0"/>
        <n v="36.25"/>
        <n v="281.25"/>
        <n v="22729.53"/>
        <n v="600.0"/>
        <n v="37.2"/>
        <n v="8.7"/>
        <n v="4140.99"/>
        <n v="9176.23"/>
        <n v="23490.69"/>
        <n v="833.34"/>
        <n v="14768.35"/>
        <n v="1666.67"/>
        <n v="40258.49"/>
        <n v="4044.0"/>
        <n v="265.5"/>
        <n v="169.4"/>
        <n v="23989.3"/>
        <n v="83.34"/>
        <n v="145.84"/>
        <n v="57896.08"/>
        <n v="234.33"/>
        <n v="495.0"/>
        <n v="7.0"/>
        <n v="744.05"/>
        <n v="678.75"/>
        <n v="9954.58"/>
        <n v="21241.73"/>
        <n v="14087.28"/>
        <n v="0.18"/>
        <n v="545.0"/>
        <m/>
        <n v="490.0"/>
        <n v="37308.65"/>
        <n v="251.0"/>
        <n v="168508.0"/>
        <n v="10832.29"/>
        <n v="4180.68"/>
        <n v="275.75"/>
        <n v="73511.06"/>
        <n v="72029.51"/>
        <n v="10444.28"/>
        <n v="4436.47"/>
        <n v="1037.56"/>
        <n v="1263.08"/>
        <n v="57108.68"/>
        <n v="24.85"/>
        <n v="66376.65"/>
        <n v="28271.54"/>
        <n v="3327.44"/>
        <n v="105.21"/>
        <n v="38.04"/>
        <n v="1925.0"/>
        <n v="412.5"/>
        <n v="618.75"/>
        <n v="8801.12"/>
        <n v="31500.34"/>
        <n v="45000.0"/>
        <n v="10600.0"/>
        <n v="391.44"/>
        <n v="8503.5"/>
        <n v="66963.11"/>
        <n v="2330.0"/>
        <n v="84.34"/>
        <n v="350.61"/>
        <n v="3435.15"/>
        <n v="232.59"/>
        <n v="6758.02"/>
        <n v="27790.5"/>
        <n v="32314.2"/>
        <n v="19343.47"/>
        <n v="64294.92"/>
        <n v="2781.0"/>
        <n v="1463.98"/>
        <n v="63.05"/>
        <n v="585.0"/>
        <n v="6572.74"/>
        <n v="18355.68"/>
        <n v="7219.91"/>
        <n v="7990.51"/>
        <n v="2804.38"/>
        <n v="25336.0"/>
        <n v="201.98"/>
        <n v="47.2"/>
        <n v="3750.0"/>
      </sharedItems>
    </cacheField>
    <cacheField name="8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51585.42"/>
        <n v="6059.9"/>
        <n v="14990.0"/>
        <n v="978.24"/>
        <n v="2500.0"/>
        <n v="350.0"/>
        <n v="155.0"/>
        <n v="36.25"/>
        <n v="281.25"/>
        <n v="22729.53"/>
        <n v="600.0"/>
        <n v="37.2"/>
        <n v="8.7"/>
        <n v="40390.99"/>
        <n v="4933.25"/>
        <n v="50.0"/>
        <n v="2926.4"/>
        <n v="2186.92"/>
        <n v="2027.04"/>
        <n v="9176.23"/>
        <n v="23490.69"/>
        <n v="833.34"/>
        <n v="4816.54"/>
        <n v="1666.67"/>
        <n v="40258.49"/>
        <n v="2300.0"/>
        <n v="601.0"/>
        <n v="4044.0"/>
        <n v="265.5"/>
        <n v="169.4"/>
        <n v="46333.0"/>
        <n v="29152.7"/>
        <n v="83.34"/>
        <n v="2745.84"/>
        <n v="57896.08"/>
        <n v="527421.32"/>
        <n v="100.0"/>
        <n v="1800.0"/>
        <n v="234.33"/>
        <n v="495.0"/>
        <n v="678.75"/>
        <n v="9954.58"/>
        <n v="21241.73"/>
        <n v="50662.05"/>
        <m/>
        <n v="3400.0"/>
        <n v="110.0"/>
        <n v="160.0"/>
        <n v="2379.5"/>
        <n v="8297.04"/>
        <n v="170136.0"/>
        <n v="8860.7"/>
        <n v="4986.02"/>
        <n v="70114.35"/>
        <n v="10166.6"/>
        <n v="4241.12"/>
        <n v="991.87"/>
        <n v="5523.47"/>
        <n v="34607.81"/>
        <n v="74.74"/>
        <n v="75.9"/>
        <n v="2512.09"/>
        <n v="24204.68"/>
        <n v="5228.55"/>
        <n v="133.13"/>
        <n v="59.95"/>
        <n v="2285.0"/>
        <n v="2200.0"/>
        <n v="1655.33"/>
        <n v="7907.73"/>
        <n v="21447.68"/>
        <n v="286.59"/>
        <n v="39006.59"/>
        <n v="750.0"/>
        <n v="75.51"/>
        <n v="3443.43"/>
        <n v="232.59"/>
        <n v="13439.02"/>
        <n v="150.0"/>
        <n v="99618.47"/>
        <n v="55558.81"/>
        <n v="234.0"/>
        <n v="113.85"/>
        <n v="16153.24"/>
        <n v="21843.25"/>
        <n v="1100.0"/>
        <n v="2.0"/>
        <n v="47.2"/>
      </sharedItems>
    </cacheField>
    <cacheField name="9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3746.52"/>
        <n v="6059.9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3000.0"/>
        <n v="6400.0"/>
        <n v="14375.0"/>
        <n v="833.34"/>
        <n v="4816.54"/>
        <n v="1666.67"/>
        <n v="40258.49"/>
        <n v="135.0"/>
        <n v="4044.0"/>
        <n v="265.5"/>
        <n v="169.4"/>
        <n v="11289.3"/>
        <n v="83.34"/>
        <n v="145.84"/>
        <n v="57896.08"/>
        <n v="234.33"/>
        <n v="495.0"/>
        <n v="678.75"/>
        <n v="9954.58"/>
        <n v="21241.73"/>
        <n v="28829.07"/>
        <n v="0.2"/>
        <n v="1345.0"/>
        <m/>
        <n v="2490.0"/>
        <n v="752.27"/>
        <n v="15.28"/>
        <n v="257019.0"/>
        <n v="9840.03"/>
        <n v="68891.04"/>
        <n v="9989.22"/>
        <n v="4175.76"/>
        <n v="976.59"/>
        <n v="5145.66"/>
        <n v="35839.74"/>
        <n v="2301.25"/>
        <n v="172.1"/>
        <n v="24204.68"/>
        <n v="2228.55"/>
        <n v="939.56"/>
        <n v="168.6"/>
        <n v="2669.11"/>
        <n v="2983.8"/>
        <n v="741.0"/>
        <n v="7907.73"/>
        <n v="21563.19"/>
        <n v="550.0"/>
        <n v="9000.0"/>
        <n v="219.02"/>
        <n v="357.0"/>
        <n v="39042.12"/>
        <n v="16.03"/>
        <n v="3420.0"/>
        <n v="429.26"/>
        <n v="8431.09"/>
        <n v="109.46"/>
        <n v="77620.45"/>
        <n v="29307.27"/>
        <n v="25.44"/>
        <n v="16186.78"/>
        <n v="925.0"/>
        <n v="398.65"/>
        <n v="2365.2"/>
      </sharedItems>
    </cacheField>
    <cacheField name="10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6059.9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13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27812.29"/>
        <n v="0.35"/>
        <n v="529.35"/>
        <m/>
        <n v="-40.0"/>
        <n v="280.0"/>
        <n v="2138.71"/>
        <n v="242.41"/>
        <n v="671537.0"/>
        <n v="9875.65"/>
        <n v="6802.44"/>
        <n v="673.89"/>
        <n v="84501.85"/>
        <n v="12252.76"/>
        <n v="5146.98"/>
        <n v="1203.73"/>
        <n v="5493.11"/>
        <n v="49022.78"/>
        <n v="270.59"/>
        <n v="43.52"/>
        <n v="28652.82"/>
        <n v="5701.56"/>
        <n v="1740.7"/>
        <n v="283.59"/>
        <n v="1377.5"/>
        <n v="6184.39"/>
        <n v="6987.19"/>
        <n v="9382.29"/>
        <n v="25695.58"/>
        <n v="3293.55"/>
        <n v="151.13"/>
        <n v="774.0"/>
        <n v="66651.46"/>
        <n v="154.6"/>
        <n v="36.01"/>
        <n v="3454.18"/>
        <n v="232.59"/>
        <n v="16357.72"/>
        <n v="567.34"/>
        <n v="68677.22"/>
        <n v="329.81"/>
        <n v="100.0"/>
        <n v="66.5"/>
        <n v="123.39"/>
        <n v="1215.0"/>
        <n v="17188.33"/>
        <n v="18028.49"/>
        <n v="392891.84"/>
        <n v="4.0"/>
        <n v="47.2"/>
      </sharedItems>
    </cacheField>
    <cacheField name="11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4620.0"/>
        <n v="60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17222.54"/>
        <m/>
        <n v="1655.45"/>
        <n v="500.0"/>
        <n v="390.0"/>
        <n v="1753.06"/>
        <n v="161061.0"/>
        <n v="350761.0"/>
        <n v="5667.97"/>
        <n v="5287.01"/>
        <n v="729.71"/>
        <n v="70811.68"/>
        <n v="10267.71"/>
        <n v="4226.36"/>
        <n v="988.42"/>
        <n v="10796.88"/>
        <n v="44235.29"/>
        <n v="258.88"/>
        <n v="10.99"/>
        <n v="3215.85"/>
        <n v="28446.64"/>
        <n v="1999.74"/>
        <n v="934.31"/>
        <n v="123.0"/>
        <n v="2745.54"/>
        <n v="3662.74"/>
        <n v="1197.9"/>
        <n v="11035.33"/>
        <n v="21717.68"/>
        <n v="2159.48"/>
        <n v="1074.0"/>
        <n v="38520.21"/>
        <n v="2086.34"/>
        <n v="955.2"/>
        <n v="3437.62"/>
        <n v="232.59"/>
        <n v="11070.54"/>
        <n v="28.04"/>
        <n v="137604.44"/>
        <n v="504.78"/>
        <n v="17.5"/>
        <n v="715.71"/>
        <n v="855.0"/>
        <n v="9916.15"/>
        <n v="15948.0"/>
        <n v="12.99"/>
        <n v="47.2"/>
      </sharedItems>
    </cacheField>
    <cacheField name="12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57073.82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2305.0"/>
        <n v="4044.0"/>
        <n v="265.5"/>
        <n v="169.4"/>
        <n v="15000.0"/>
        <n v="6039.3"/>
        <n v="83.34"/>
        <n v="145.84"/>
        <n v="57896.08"/>
        <n v="234.33"/>
        <n v="495.0"/>
        <n v="678.75"/>
        <n v="9954.58"/>
        <n v="21241.73"/>
        <n v="25275.74"/>
        <n v="0.19"/>
        <n v="4088.4"/>
        <m/>
        <n v="295.0"/>
        <n v="580.0"/>
        <n v="216449.0"/>
        <n v="252900.0"/>
        <n v="9012.59"/>
        <n v="1879.43"/>
        <n v="96112.1"/>
        <n v="14240.74"/>
        <n v="5989.42"/>
        <n v="1400.73"/>
        <n v="4751.37"/>
        <n v="58722.16"/>
        <n v="217.07"/>
        <n v="3107.24"/>
        <n v="29417.3"/>
        <n v="2100.0"/>
        <n v="7319.58"/>
        <n v="234.51"/>
        <n v="1138.13"/>
        <n v="423.5"/>
        <n v="3300.0"/>
        <n v="2985.66"/>
        <n v="15455.86"/>
        <n v="26990.12"/>
        <n v="1869.05"/>
        <n v="1000.0"/>
        <n v="302.9"/>
        <n v="1074.0"/>
        <n v="347598.7"/>
        <n v="88.95"/>
        <n v="4141.99"/>
        <n v="3457.52"/>
        <n v="873.95"/>
        <n v="14749.16"/>
        <n v="7946.07"/>
        <n v="2925.85"/>
        <n v="78.0"/>
        <n v="2480.74"/>
        <n v="1215.0"/>
        <n v="14199.75"/>
        <n v="21756.12"/>
        <n v="276.0"/>
        <n v="425.0"/>
        <n v="1108.8"/>
        <n v="478.86"/>
        <n v="47.5"/>
        <n v="47.2"/>
      </sharedItems>
    </cacheField>
    <cacheField name="1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4406.02"/>
        <n v="1817.96"/>
        <n v="978.24"/>
        <n v="2500.0"/>
        <n v="350.0"/>
        <n v="155.0"/>
        <n v="36.25"/>
        <n v="281.25"/>
        <n v="22729.53"/>
        <n v="600.0"/>
        <n v="37.2"/>
        <n v="8.7"/>
        <n v="40390.99"/>
        <n v="4933.25"/>
        <n v="9176.23"/>
        <n v="23490.69"/>
        <n v="833.34"/>
        <n v="4816.54"/>
        <n v="1666.67"/>
        <n v="40258.49"/>
        <n v="4044.0"/>
        <n v="265.5"/>
        <n v="169.4"/>
        <n v="6039.3"/>
        <n v="83.34"/>
        <n v="145.84"/>
        <n v="57896.08"/>
        <n v="234.33"/>
        <n v="495.0"/>
        <n v="744.05"/>
        <n v="678.75"/>
        <n v="9954.58"/>
        <n v="21241.73"/>
        <n v="30377.61"/>
        <n v="0.19"/>
        <n v="145.0"/>
        <m/>
        <n v="505.0"/>
        <n v="100202.0"/>
        <n v="305895.0"/>
        <n v="9035.71"/>
        <n v="18684.09"/>
        <n v="3725.96"/>
        <n v="70715.41"/>
        <n v="9900.13"/>
        <n v="4276.93"/>
        <n v="1000.24"/>
        <n v="-226.26"/>
        <n v="50116.67"/>
        <n v="60.0"/>
        <n v="276.29"/>
        <n v="454.88"/>
        <n v="21301.41"/>
        <n v="2089.37"/>
        <n v="189.13"/>
        <n v="231.96"/>
        <n v="3212.0"/>
        <n v="3300.0"/>
        <n v="1001.0"/>
        <n v="9411.78"/>
        <n v="21759.97"/>
        <n v="2136.3"/>
        <n v="5353.0"/>
        <n v="44475.01"/>
        <n v="57.28"/>
        <n v="3157.36"/>
        <n v="232.59"/>
        <n v="48.0"/>
        <n v="19986.24"/>
        <n v="137354.44"/>
        <n v="283.45"/>
        <n v="21.0"/>
        <n v="-104.75"/>
        <n v="17173.95"/>
        <n v="6104.46"/>
        <n v="94.6"/>
        <n v="47.2"/>
      </sharedItems>
    </cacheField>
    <cacheField name="2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70000.0"/>
        <n v="7190.52"/>
        <n v="380.83"/>
        <n v="0.0"/>
        <n v="90967.25"/>
        <n v="12735.59"/>
        <n v="5639.97"/>
        <n v="1319.03"/>
        <n v="6750.0"/>
        <n v="42073.82"/>
        <n v="1817.96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60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29693.94"/>
        <n v="0.19"/>
        <n v="1539.35"/>
        <m/>
        <n v="180.0"/>
        <n v="11156.05"/>
        <n v="310939.0"/>
        <n v="8983.83"/>
        <n v="423.62"/>
        <n v="66730.43"/>
        <n v="9342.28"/>
        <n v="4038.89"/>
        <n v="944.57"/>
        <n v="6019.7"/>
        <n v="41230.0"/>
        <n v="932.8"/>
        <n v="1661.78"/>
        <n v="29018.75"/>
        <n v="19451.93"/>
        <n v="518.2"/>
        <n v="430.0"/>
        <n v="1650.0"/>
        <n v="2002.0"/>
        <n v="22000.0"/>
        <n v="30800.0"/>
        <n v="2418.3"/>
        <n v="1584.0"/>
        <n v="1074.0"/>
        <n v="141182.99"/>
        <n v="60.78"/>
        <n v="4274.3"/>
        <n v="232.59"/>
        <n v="18505.32"/>
        <n v="20.74"/>
        <n v="1071.0"/>
        <n v="58.48"/>
        <n v="40.79"/>
        <n v="18480.0"/>
        <n v="8000.0"/>
        <n v="170.01"/>
        <n v="27.52"/>
        <n v="47.2"/>
      </sharedItems>
    </cacheField>
    <cacheField name="3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1817.96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3163.34"/>
        <n v="4816.54"/>
        <n v="1666.67"/>
        <n v="40258.49"/>
        <n v="135.0"/>
        <n v="4044.0"/>
        <n v="265.5"/>
        <n v="169.4"/>
        <n v="7039.3"/>
        <n v="83.34"/>
        <n v="145.84"/>
        <n v="57896.08"/>
        <n v="234.33"/>
        <n v="495.0"/>
        <n v="678.75"/>
        <n v="9954.58"/>
        <n v="21241.73"/>
        <n v="25861.26"/>
        <n v="0.17"/>
        <n v="1554.4"/>
        <m/>
        <n v="225.0"/>
        <n v="109.2"/>
        <n v="507771.0"/>
        <n v="9015.59"/>
        <n v="9689.45"/>
        <n v="74515.26"/>
        <n v="7676.92"/>
        <n v="651.82"/>
        <n v="70130.27"/>
        <n v="11049.22"/>
        <n v="4172.85"/>
        <n v="975.9"/>
        <n v="7938.33"/>
        <n v="42057.47"/>
        <n v="2408.67"/>
        <n v="10625.8"/>
        <n v="2319.0"/>
        <n v="28160.0"/>
        <n v="25099.0"/>
        <n v="2090.25"/>
        <n v="339.47"/>
        <n v="346.5"/>
        <n v="6105.0"/>
        <n v="2894.67"/>
        <n v="22000.0"/>
        <n v="30800.0"/>
        <n v="7700.0"/>
        <n v="1074.0"/>
        <n v="-190993.69"/>
        <n v="1555.9"/>
        <n v="31.11"/>
        <n v="3064.27"/>
        <n v="600.21"/>
        <n v="31893.27"/>
        <n v="30.0"/>
        <n v="69510.22"/>
        <n v="2833.55"/>
        <n v="294.27"/>
        <n v="602.55"/>
        <n v="6026.09"/>
        <n v="18480.0"/>
        <n v="1278.63"/>
        <n v="47.2"/>
      </sharedItems>
    </cacheField>
    <cacheField name="4/1/2022">
      <sharedItems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1817.96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13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249821.78"/>
        <n v="1.47"/>
        <n v="14801.95"/>
        <n v="110.0"/>
        <n v="3630.0"/>
        <n v="5606.77"/>
        <n v="1753.06"/>
        <n v="536736.93"/>
        <n v="493.41"/>
        <n v="2995466.0"/>
        <n v="81124.36"/>
        <n v="16554.9"/>
        <n v="74515.26"/>
        <n v="42631.14"/>
        <n v="6480.75"/>
        <n v="73511.06"/>
        <n v="670036.64"/>
        <n v="97652.94"/>
        <n v="40704.78"/>
        <n v="9519.61"/>
        <n v="46705.34"/>
        <n v="412940.6"/>
        <n v="6548.85"/>
        <n v="82306.75"/>
        <n v="8545.34"/>
        <n v="241677.82"/>
        <n v="2100.0"/>
        <n v="72445.72"/>
        <n v="6885.0"/>
        <n v="2382.74"/>
        <n v="15414.15"/>
        <n v="29798.43"/>
        <n v="20083.5"/>
        <n v="113901.84"/>
        <n v="232274.56"/>
        <n v="58026.68"/>
        <n v="151.13"/>
        <n v="20600.0"/>
        <n v="10483.95"/>
        <n v="19283.5"/>
        <n v="592446.5"/>
        <n v="3080.0"/>
        <n v="4118.95"/>
        <n v="5575.7"/>
        <n v="31143.83"/>
        <n v="3298.96"/>
        <n v="1064.4"/>
        <n v="6758.02"/>
        <n v="162222.86"/>
        <n v="41165.85"/>
        <n v="610799.71"/>
        <n v="156096.92"/>
        <n v="100.0"/>
        <n v="2781.0"/>
        <n v="1625.98"/>
        <n v="262.0"/>
        <n v="3752.49"/>
        <n v="4472.55"/>
        <n v="53903.06"/>
        <n v="160562.26"/>
        <n v="7219.91"/>
        <n v="7990.51"/>
        <n v="6104.46"/>
        <n v="392891.84"/>
        <n v="2804.38"/>
        <n v="276.0"/>
        <n v="31193.25"/>
        <n v="27544.8"/>
        <n v="1941.89"/>
        <n v="525.37"/>
        <n v="47.5"/>
        <n v="201.98"/>
        <n v="2742.8"/>
        <n v="3750.0"/>
      </sharedItems>
    </cacheField>
    <cacheField name="5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1817.96"/>
        <n v="147168.0"/>
        <n v="489.12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6756.16"/>
        <n v="135.0"/>
        <n v="4044.0"/>
        <n v="265.5"/>
        <n v="169.4"/>
        <n v="6204.3"/>
        <n v="83.34"/>
        <n v="145.84"/>
        <n v="57896.08"/>
        <n v="234.33"/>
        <n v="495.0"/>
        <n v="678.75"/>
        <n v="9954.58"/>
        <n v="21241.73"/>
        <m/>
      </sharedItems>
    </cacheField>
    <cacheField name="6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194040.01"/>
        <n v="20000.0"/>
        <n v="22492.0"/>
        <n v="752523.0"/>
        <n v="90967.25"/>
        <n v="12735.59"/>
        <n v="5639.97"/>
        <n v="1319.03"/>
        <n v="6750.0"/>
        <n v="42073.82"/>
        <n v="1211.98"/>
        <n v="2016.4"/>
        <n v="2500.0"/>
        <n v="350.0"/>
        <n v="155.0"/>
        <n v="36.25"/>
        <n v="281.25"/>
        <n v="22729.53"/>
        <n v="600.0"/>
        <n v="37.2"/>
        <n v="8.7"/>
        <n v="4140.99"/>
        <n v="50.0"/>
        <n v="2669.4"/>
        <n v="2186.92"/>
        <n v="2027.04"/>
        <n v="9176.23"/>
        <n v="23490.69"/>
        <n v="833.34"/>
        <n v="4816.54"/>
        <n v="1666.67"/>
        <n v="40258.49"/>
        <n v="4250.0"/>
        <n v="441.0"/>
        <n v="4044.0"/>
        <n v="265.5"/>
        <n v="169.4"/>
        <n v="1425.0"/>
        <n v="6039.3"/>
        <n v="83.34"/>
        <n v="145.84"/>
        <n v="57896.08"/>
        <n v="74700.0"/>
        <n v="234.33"/>
        <n v="495.0"/>
        <n v="678.75"/>
        <n v="9954.58"/>
        <n v="21241.73"/>
        <m/>
      </sharedItems>
    </cacheField>
    <cacheField name="7/1/2022" numFmtId="0">
      <sharedItems containsBlank="1">
        <m/>
        <s v=""/>
      </sharedItems>
    </cacheField>
    <cacheField name=" " numFmtId="0">
      <sharedItems containsString="0" containsBlank="1">
        <m/>
      </sharedItems>
    </cacheField>
    <cacheField name="7/1/20212" numFmtId="166">
      <sharedItems containsSemiMixedTypes="0" containsString="0" containsNumber="1">
        <n v="21855.75"/>
        <n v="709.92"/>
        <n v="570.83"/>
        <n v="35458.33"/>
        <n v="578.42"/>
        <n v="346763.0"/>
        <n v="6774.92"/>
        <n v="4965.64"/>
        <n v="0.0"/>
        <n v="7190.52"/>
        <n v="380.83"/>
        <n v="90967.25"/>
        <n v="12735.59"/>
        <n v="5639.97"/>
        <n v="1319.03"/>
        <n v="6750.0"/>
        <n v="53222.119999999995"/>
        <n v="1817.96"/>
        <n v="96724.7"/>
        <n v="489.12"/>
        <n v="2500.0"/>
        <n v="350.0"/>
        <n v="155.0"/>
        <n v="36.25"/>
        <n v="281.25"/>
        <n v="22729.53"/>
        <n v="600.0"/>
        <n v="37.2"/>
        <n v="8.7"/>
        <n v="4140.99"/>
        <n v="9176.23"/>
        <n v="23490.69"/>
        <n v="833.34"/>
        <n v="14768.35"/>
        <n v="1666.67"/>
        <n v="40258.49"/>
        <n v="4044.0"/>
        <n v="265.5"/>
        <n v="169.4"/>
        <n v="23989.3"/>
        <n v="83.34"/>
        <n v="145.84"/>
        <n v="57896.08"/>
        <n v="234.33"/>
        <n v="495.0"/>
        <n v="7.0"/>
        <n v="744.05"/>
        <n v="678.75"/>
        <n v="9954.58"/>
        <n v="21241.73"/>
        <n v="14087.28"/>
        <n v="0.18"/>
        <n v="545.0"/>
        <n v="490.0"/>
        <n v="37308.65"/>
        <n v="251.0"/>
        <n v="168508.0"/>
        <n v="10832.29"/>
        <n v="4180.68"/>
        <n v="275.75"/>
        <n v="73511.06"/>
        <n v="72029.51"/>
        <n v="10444.28"/>
        <n v="4436.47"/>
        <n v="1037.56"/>
        <n v="1263.08"/>
        <n v="57108.68"/>
        <n v="24.85"/>
        <n v="66376.65"/>
        <n v="28271.54"/>
        <n v="3327.44"/>
        <n v="105.21"/>
        <n v="38.04"/>
        <n v="1925.0"/>
        <n v="412.5"/>
        <n v="618.75"/>
        <n v="8801.12"/>
        <n v="31500.34"/>
        <n v="45000.0"/>
        <n v="10600.0"/>
        <n v="391.44"/>
        <n v="8503.5"/>
        <n v="66963.11"/>
        <n v="2330.0"/>
        <n v="84.34"/>
        <n v="350.61"/>
        <n v="3435.15"/>
        <n v="232.59"/>
        <n v="6758.02"/>
        <n v="27790.5"/>
        <n v="32314.2"/>
        <n v="19343.47"/>
        <n v="64294.92"/>
        <n v="2781.0"/>
        <n v="1463.98"/>
        <n v="63.05"/>
        <n v="585.0"/>
        <n v="6572.74"/>
        <n v="18355.68"/>
        <n v="7219.91"/>
        <n v="7990.51"/>
        <n v="2804.38"/>
        <n v="25336.0"/>
        <n v="201.98"/>
        <n v="47.2"/>
        <n v="3750.0"/>
      </sharedItems>
    </cacheField>
    <cacheField name="8/1/20212" numFmtId="166">
      <sharedItems containsSemiMixedTypes="0" containsString="0" containsNumber="1">
        <n v="43711.5"/>
        <n v="1419.84"/>
        <n v="1141.66"/>
        <n v="70916.66"/>
        <n v="1156.84"/>
        <n v="693526.0"/>
        <n v="13549.84"/>
        <n v="9931.28"/>
        <n v="0.0"/>
        <n v="14381.04"/>
        <n v="761.66"/>
        <n v="181934.5"/>
        <n v="25471.18"/>
        <n v="11279.94"/>
        <n v="2638.06"/>
        <n v="13500.0"/>
        <n v="104807.54"/>
        <n v="7877.86"/>
        <n v="111714.7"/>
        <n v="1467.3600000000001"/>
        <n v="5000.0"/>
        <n v="700.0"/>
        <n v="310.0"/>
        <n v="72.5"/>
        <n v="562.5"/>
        <n v="45459.06"/>
        <n v="1200.0"/>
        <n v="74.4"/>
        <n v="17.4"/>
        <n v="44531.979999999996"/>
        <n v="4933.25"/>
        <n v="50.0"/>
        <n v="2926.4"/>
        <n v="2186.92"/>
        <n v="2027.04"/>
        <n v="18352.46"/>
        <n v="46981.38"/>
        <n v="1666.68"/>
        <n v="19584.89"/>
        <n v="3333.34"/>
        <n v="80516.98"/>
        <n v="2300.0"/>
        <n v="601.0"/>
        <n v="8088.0"/>
        <n v="531.0"/>
        <n v="338.8"/>
        <n v="46333.0"/>
        <n v="53142.0"/>
        <n v="166.68"/>
        <n v="2891.6800000000003"/>
        <n v="115792.16"/>
        <n v="527421.32"/>
        <n v="100.0"/>
        <n v="1800.0"/>
        <n v="468.66"/>
        <n v="990.0"/>
        <n v="7.0"/>
        <n v="744.05"/>
        <n v="1357.5"/>
        <n v="19909.16"/>
        <n v="42483.46"/>
        <n v="64749.33"/>
        <n v="0.18"/>
        <n v="3945.0"/>
        <n v="110.0"/>
        <n v="160.0"/>
        <n v="2869.5"/>
        <n v="45605.69"/>
        <n v="251.0"/>
        <n v="338644.0"/>
        <n v="19692.99"/>
        <n v="4986.02"/>
        <n v="4180.68"/>
        <n v="275.75"/>
        <n v="73511.06"/>
        <n v="142143.86"/>
        <n v="20610.88"/>
        <n v="8677.59"/>
        <n v="2029.4299999999998"/>
        <n v="6786.55"/>
        <n v="91716.48999999999"/>
        <n v="99.59"/>
        <n v="66452.54999999999"/>
        <n v="2512.09"/>
        <n v="52476.22"/>
        <n v="8555.99"/>
        <n v="238.33999999999997"/>
        <n v="97.99000000000001"/>
        <n v="4210.0"/>
        <n v="2612.5"/>
        <n v="2274.08"/>
        <n v="16708.85"/>
        <n v="52948.020000000004"/>
        <n v="45000.0"/>
        <n v="10600.0"/>
        <n v="678.03"/>
        <n v="8503.5"/>
        <n v="105969.7"/>
        <n v="3080.0"/>
        <n v="159.85000000000002"/>
        <n v="350.61"/>
        <n v="6878.58"/>
        <n v="465.18"/>
        <n v="6758.02"/>
        <n v="41229.520000000004"/>
        <n v="32464.2"/>
        <n v="118961.94"/>
        <n v="119853.73"/>
        <n v="2781.0"/>
        <n v="1463.98"/>
        <n v="241.0"/>
        <n v="176.89999999999998"/>
        <n v="585.0"/>
        <n v="6572.74"/>
        <n v="34508.92"/>
        <n v="7219.91"/>
        <n v="7990.51"/>
        <n v="2804.38"/>
        <n v="21843.25"/>
        <n v="26436.0"/>
        <n v="2.0"/>
        <n v="201.98"/>
        <n v="94.4"/>
        <n v="3750.0"/>
      </sharedItems>
    </cacheField>
    <cacheField name="9/1/20212" numFmtId="166">
      <sharedItems containsSemiMixedTypes="0" containsString="0" containsNumber="1">
        <n v="65567.25"/>
        <n v="2129.7599999999998"/>
        <n v="1712.4900000000002"/>
        <n v="106374.99"/>
        <n v="1735.2599999999998"/>
        <n v="1040289.0"/>
        <n v="20324.760000000002"/>
        <n v="14896.920000000002"/>
        <n v="0.0"/>
        <n v="21571.56"/>
        <n v="1142.49"/>
        <n v="272901.75"/>
        <n v="38206.770000000004"/>
        <n v="16919.91"/>
        <n v="3957.09"/>
        <n v="20250.0"/>
        <n v="148554.06"/>
        <n v="13937.759999999998"/>
        <n v="111714.7"/>
        <n v="2445.6000000000004"/>
        <n v="7500.0"/>
        <n v="1050.0"/>
        <n v="465.0"/>
        <n v="108.75"/>
        <n v="843.75"/>
        <n v="68188.59"/>
        <n v="1800.0"/>
        <n v="111.60000000000001"/>
        <n v="26.099999999999998"/>
        <n v="48872.969999999994"/>
        <n v="4933.25"/>
        <n v="100.0"/>
        <n v="5595.8"/>
        <n v="4373.84"/>
        <n v="4054.08"/>
        <n v="27528.69"/>
        <n v="70472.06999999999"/>
        <n v="3000.0"/>
        <n v="6400.0"/>
        <n v="14375.0"/>
        <n v="2500.02"/>
        <n v="24401.43"/>
        <n v="5000.01"/>
        <n v="120775.47"/>
        <n v="2300.0"/>
        <n v="736.0"/>
        <n v="12132.0"/>
        <n v="796.5"/>
        <n v="508.20000000000005"/>
        <n v="46333.0"/>
        <n v="64431.3"/>
        <n v="250.02"/>
        <n v="3037.5200000000004"/>
        <n v="173688.24"/>
        <n v="527421.32"/>
        <n v="702.99"/>
        <n v="1485.0"/>
        <n v="7.0"/>
        <n v="744.05"/>
        <n v="2036.25"/>
        <n v="29863.739999999998"/>
        <n v="63725.19"/>
        <n v="93578.4"/>
        <n v="0.38"/>
        <n v="5290.0"/>
        <n v="110.0"/>
        <n v="2650.0"/>
        <n v="3621.77"/>
        <n v="45620.97"/>
        <n v="251.0"/>
        <n v="595663.0"/>
        <n v="29533.020000000004"/>
        <n v="4986.02"/>
        <n v="4180.68"/>
        <n v="275.75"/>
        <n v="73511.06"/>
        <n v="211034.89999999997"/>
        <n v="30600.1"/>
        <n v="12853.35"/>
        <n v="3006.02"/>
        <n v="11932.21"/>
        <n v="127556.22999999998"/>
        <n v="2400.84"/>
        <n v="66624.65"/>
        <n v="2512.09"/>
        <n v="76680.9"/>
        <n v="10784.54"/>
        <n v="1177.8999999999999"/>
        <n v="266.59000000000003"/>
        <n v="6879.110000000001"/>
        <n v="5596.3"/>
        <n v="3015.08"/>
        <n v="24616.579999999998"/>
        <n v="74511.21"/>
        <n v="45550.0"/>
        <n v="19600.0"/>
        <n v="897.05"/>
        <n v="8860.5"/>
        <n v="145011.82"/>
        <n v="3080.0"/>
        <n v="175.88000000000002"/>
        <n v="350.61"/>
        <n v="10298.58"/>
        <n v="894.44"/>
        <n v="6758.02"/>
        <n v="49660.61"/>
        <n v="32573.66"/>
        <n v="196582.39"/>
        <n v="149161.0"/>
        <n v="2781.0"/>
        <n v="1463.98"/>
        <n v="241.0"/>
        <n v="202.33999999999997"/>
        <n v="585.0"/>
        <n v="6572.74"/>
        <n v="50695.7"/>
        <n v="7219.91"/>
        <n v="7990.51"/>
        <n v="2804.38"/>
        <n v="22768.25"/>
        <n v="26436.0"/>
        <n v="398.65"/>
        <n v="2.0"/>
        <n v="201.98"/>
        <n v="2459.6"/>
        <n v="3750.0"/>
      </sharedItems>
    </cacheField>
    <cacheField name="10/1/20212" numFmtId="166">
      <sharedItems containsSemiMixedTypes="0" containsString="0" containsNumber="1">
        <n v="87423.0"/>
        <n v="2839.68"/>
        <n v="2283.32"/>
        <n v="141833.32"/>
        <n v="2313.68"/>
        <n v="1387052.0"/>
        <n v="27099.68"/>
        <n v="19862.56"/>
        <n v="0.0"/>
        <n v="28762.08"/>
        <n v="1523.32"/>
        <n v="363869.0"/>
        <n v="50942.36"/>
        <n v="22559.88"/>
        <n v="5276.12"/>
        <n v="27000.0"/>
        <n v="190627.88"/>
        <n v="19997.659999999996"/>
        <n v="111714.7"/>
        <n v="3423.84"/>
        <n v="10000.0"/>
        <n v="1400.0"/>
        <n v="620.0"/>
        <n v="145.0"/>
        <n v="1125.0"/>
        <n v="90918.12"/>
        <n v="2400.0"/>
        <n v="148.8"/>
        <n v="34.8"/>
        <n v="53213.95999999999"/>
        <n v="4933.25"/>
        <n v="150.0"/>
        <n v="8265.2"/>
        <n v="6560.76"/>
        <n v="6081.12"/>
        <n v="36704.92"/>
        <n v="93962.76"/>
        <n v="3000.0"/>
        <n v="6400.0"/>
        <n v="14375.0"/>
        <n v="3333.36"/>
        <n v="29217.97"/>
        <n v="6666.68"/>
        <n v="161033.96"/>
        <n v="2300.0"/>
        <n v="871.0"/>
        <n v="16176.0"/>
        <n v="1062.0"/>
        <n v="677.6"/>
        <n v="46333.0"/>
        <n v="70470.6"/>
        <n v="333.36"/>
        <n v="3183.3600000000006"/>
        <n v="231584.32"/>
        <n v="527421.32"/>
        <n v="100.0"/>
        <n v="1800.0"/>
        <n v="937.32"/>
        <n v="1980.0"/>
        <n v="7.0"/>
        <n v="744.05"/>
        <n v="2715.0"/>
        <n v="39818.32"/>
        <n v="84966.92"/>
        <n v="121390.69"/>
        <n v="0.73"/>
        <n v="5819.35"/>
        <n v="110.0"/>
        <n v="2610.0"/>
        <n v="3901.77"/>
        <n v="47759.68"/>
        <n v="493.40999999999997"/>
        <n v="1267200.0"/>
        <n v="39408.670000000006"/>
        <n v="4986.02"/>
        <n v="10983.119999999999"/>
        <n v="949.64"/>
        <n v="73511.06"/>
        <n v="295536.75"/>
        <n v="42852.86"/>
        <n v="18000.33"/>
        <n v="4209.75"/>
        <n v="17425.32"/>
        <n v="176579.00999999998"/>
        <n v="2671.4300000000003"/>
        <n v="66624.65"/>
        <n v="2555.61"/>
        <n v="105333.72"/>
        <n v="16486.100000000002"/>
        <n v="2918.6"/>
        <n v="550.1800000000001"/>
        <n v="8256.61"/>
        <n v="11780.69"/>
        <n v="10002.27"/>
        <n v="33998.869999999995"/>
        <n v="100206.79000000001"/>
        <n v="48843.55"/>
        <n v="151.13"/>
        <n v="19600.0"/>
        <n v="897.05"/>
        <n v="9634.5"/>
        <n v="211663.28000000003"/>
        <n v="3080.0"/>
        <n v="330.48"/>
        <n v="386.62"/>
        <n v="13752.76"/>
        <n v="1127.03"/>
        <n v="6758.02"/>
        <n v="66018.33"/>
        <n v="33141.0"/>
        <n v="265259.61"/>
        <n v="149490.81"/>
        <n v="2781.0"/>
        <n v="1530.48"/>
        <n v="241.0"/>
        <n v="325.72999999999996"/>
        <n v="23761.07"/>
        <n v="68724.19"/>
        <n v="7219.91"/>
        <n v="7990.51"/>
        <n v="392891.84"/>
        <n v="2804.38"/>
        <n v="22768.25"/>
        <n v="26436.0"/>
        <n v="398.65"/>
        <n v="6.0"/>
        <n v="201.98"/>
        <n v="2506.7999999999997"/>
        <n v="3750.0"/>
      </sharedItems>
    </cacheField>
    <cacheField name="11/1/20212" numFmtId="166">
      <sharedItems containsSemiMixedTypes="0" containsString="0" containsNumber="1">
        <n v="109278.75"/>
        <n v="3549.6"/>
        <n v="2854.15"/>
        <n v="177291.65000000002"/>
        <n v="2892.1"/>
        <n v="1733815.0"/>
        <n v="33874.6"/>
        <n v="24828.2"/>
        <n v="0.0"/>
        <n v="35952.600000000006"/>
        <n v="1904.1499999999999"/>
        <n v="454836.25"/>
        <n v="63677.95"/>
        <n v="28199.850000000002"/>
        <n v="6595.15"/>
        <n v="33750.0"/>
        <n v="232701.7"/>
        <n v="19997.659999999996"/>
        <n v="111714.7"/>
        <n v="4402.08"/>
        <n v="12500.0"/>
        <n v="1750.0"/>
        <n v="775.0"/>
        <n v="181.25"/>
        <n v="1406.25"/>
        <n v="113647.65"/>
        <n v="3000.0"/>
        <n v="186.0"/>
        <n v="43.5"/>
        <n v="57554.94999999999"/>
        <n v="4933.25"/>
        <n v="200.0"/>
        <n v="10934.6"/>
        <n v="8747.68"/>
        <n v="8108.16"/>
        <n v="45881.149999999994"/>
        <n v="117453.45"/>
        <n v="6400.0"/>
        <n v="14375.0"/>
        <n v="4166.7"/>
        <n v="34034.51"/>
        <n v="8333.35"/>
        <n v="201292.44999999998"/>
        <n v="4620.0"/>
        <n v="2300.0"/>
        <n v="1476.0"/>
        <n v="20220.0"/>
        <n v="1327.5"/>
        <n v="847.0"/>
        <n v="46333.0"/>
        <n v="76509.90000000001"/>
        <n v="416.70000000000005"/>
        <n v="3329.2000000000007"/>
        <n v="289480.4"/>
        <n v="527421.32"/>
        <n v="100.0"/>
        <n v="1800.0"/>
        <n v="1171.65"/>
        <n v="2475.0"/>
        <n v="7.0"/>
        <n v="744.05"/>
        <n v="3393.75"/>
        <n v="49772.9"/>
        <n v="106208.65"/>
        <n v="138613.23"/>
        <n v="0.73"/>
        <n v="7474.8"/>
        <n v="110.0"/>
        <n v="3110.0"/>
        <n v="4291.77"/>
        <n v="1753.06"/>
        <n v="208820.68"/>
        <n v="493.40999999999997"/>
        <n v="1617961.0"/>
        <n v="45076.64000000001"/>
        <n v="4986.02"/>
        <n v="16270.13"/>
        <n v="1679.35"/>
        <n v="73511.06"/>
        <n v="366348.43"/>
        <n v="53120.57"/>
        <n v="22226.690000000002"/>
        <n v="5198.17"/>
        <n v="28222.199999999997"/>
        <n v="220814.3"/>
        <n v="2930.3100000000004"/>
        <n v="66635.64"/>
        <n v="5771.46"/>
        <n v="133780.36"/>
        <n v="18485.840000000004"/>
        <n v="3852.91"/>
        <n v="673.1800000000001"/>
        <n v="11002.150000000001"/>
        <n v="15443.43"/>
        <n v="11200.17"/>
        <n v="45034.2"/>
        <n v="121924.47"/>
        <n v="51003.030000000006"/>
        <n v="151.13"/>
        <n v="19600.0"/>
        <n v="897.05"/>
        <n v="10708.5"/>
        <n v="250183.49000000002"/>
        <n v="3080.0"/>
        <n v="2416.82"/>
        <n v="1341.8200000000002"/>
        <n v="17190.38"/>
        <n v="1359.62"/>
        <n v="6758.02"/>
        <n v="77088.87"/>
        <n v="33169.04"/>
        <n v="402864.05"/>
        <n v="149995.59"/>
        <n v="2781.0"/>
        <n v="1547.98"/>
        <n v="241.0"/>
        <n v="1041.44"/>
        <n v="2655.0"/>
        <n v="33677.22"/>
        <n v="84672.19"/>
        <n v="7219.91"/>
        <n v="7990.51"/>
        <n v="392891.84"/>
        <n v="2804.38"/>
        <n v="22768.25"/>
        <n v="26436.0"/>
        <n v="398.65"/>
        <n v="18.990000000000002"/>
        <n v="201.98"/>
        <n v="2553.9999999999995"/>
        <n v="3750.0"/>
      </sharedItems>
    </cacheField>
    <cacheField name="12/1/20212" numFmtId="166">
      <sharedItems containsSemiMixedTypes="0" containsString="0" containsNumber="1">
        <n v="131134.5"/>
        <n v="4259.5199999999995"/>
        <n v="3424.98"/>
        <n v="212749.98000000004"/>
        <n v="3470.52"/>
        <n v="2080578.0"/>
        <n v="40649.52"/>
        <n v="29793.84"/>
        <n v="0.0"/>
        <n v="43143.12000000001"/>
        <n v="2284.98"/>
        <n v="545803.5"/>
        <n v="76413.54"/>
        <n v="33839.82"/>
        <n v="7914.179999999999"/>
        <n v="40500.0"/>
        <n v="289775.52"/>
        <n v="19997.659999999996"/>
        <n v="111714.7"/>
        <n v="5380.32"/>
        <n v="15000.0"/>
        <n v="2100.0"/>
        <n v="930.0"/>
        <n v="217.5"/>
        <n v="1687.5"/>
        <n v="136377.18"/>
        <n v="3600.0"/>
        <n v="223.2"/>
        <n v="52.2"/>
        <n v="61895.93999999999"/>
        <n v="4933.25"/>
        <n v="250.0"/>
        <n v="13604.0"/>
        <n v="10934.6"/>
        <n v="10135.2"/>
        <n v="55057.37999999999"/>
        <n v="140944.13999999998"/>
        <n v="3000.0"/>
        <n v="6400.0"/>
        <n v="14375.0"/>
        <n v="5000.04"/>
        <n v="38851.05"/>
        <n v="10000.02"/>
        <n v="241550.93999999997"/>
        <n v="4620.0"/>
        <n v="2300.0"/>
        <n v="3781.0"/>
        <n v="24264.0"/>
        <n v="1593.0"/>
        <n v="1016.4"/>
        <n v="61333.0"/>
        <n v="82549.20000000001"/>
        <n v="500.0400000000001"/>
        <n v="3475.040000000001"/>
        <n v="347376.48000000004"/>
        <n v="527421.32"/>
        <n v="100.0"/>
        <n v="1800.0"/>
        <n v="1405.98"/>
        <n v="2970.0"/>
        <n v="7.0"/>
        <n v="744.05"/>
        <n v="4072.5"/>
        <n v="59727.48"/>
        <n v="127450.37999999999"/>
        <n v="163888.97"/>
        <n v="0.9199999999999999"/>
        <n v="11563.2"/>
        <n v="110.0"/>
        <n v="3405.0"/>
        <n v="4871.77"/>
        <n v="1753.06"/>
        <n v="425269.68"/>
        <n v="493.40999999999997"/>
        <n v="1870861.0"/>
        <n v="54089.23000000001"/>
        <n v="6865.450000000001"/>
        <n v="16270.13"/>
        <n v="1679.35"/>
        <n v="73511.06"/>
        <n v="462460.53"/>
        <n v="67361.31"/>
        <n v="28216.11"/>
        <n v="6598.9"/>
        <n v="32973.57"/>
        <n v="279536.45999999996"/>
        <n v="3147.3800000000006"/>
        <n v="69742.88"/>
        <n v="5771.46"/>
        <n v="163197.65999999997"/>
        <n v="25805.420000000006"/>
        <n v="4087.42"/>
        <n v="1811.3100000000002"/>
        <n v="11425.650000000001"/>
        <n v="18743.43"/>
        <n v="14185.83"/>
        <n v="60490.06"/>
        <n v="148914.59"/>
        <n v="52872.08000000001"/>
        <n v="151.13"/>
        <n v="20600.0"/>
        <n v="1199.9499999999998"/>
        <n v="11782.5"/>
        <n v="597782.1900000001"/>
        <n v="3080.0"/>
        <n v="2505.77"/>
        <n v="5483.8099999999995"/>
        <n v="20647.9"/>
        <n v="2233.5699999999997"/>
        <n v="6758.02"/>
        <n v="91838.03"/>
        <n v="41115.11"/>
        <n v="402864.05"/>
        <n v="152921.44"/>
        <n v="2781.0"/>
        <n v="1625.98"/>
        <n v="241.0"/>
        <n v="3522.18"/>
        <n v="3870.0"/>
        <n v="47876.97"/>
        <n v="106428.31"/>
        <n v="7219.91"/>
        <n v="7990.51"/>
        <n v="392891.84"/>
        <n v="2804.38"/>
        <n v="276.0"/>
        <n v="23193.25"/>
        <n v="27544.8"/>
        <n v="398.65"/>
        <n v="497.85"/>
        <n v="47.5"/>
        <n v="201.98"/>
        <n v="2601.1999999999994"/>
        <n v="3750.0"/>
      </sharedItems>
    </cacheField>
    <cacheField name="1/1/20222" numFmtId="166">
      <sharedItems containsSemiMixedTypes="0" containsString="0" containsNumber="1">
        <n v="152990.25"/>
        <n v="4969.44"/>
        <n v="3995.81"/>
        <n v="248208.31000000006"/>
        <n v="4048.94"/>
        <n v="2427341.0"/>
        <n v="47424.439999999995"/>
        <n v="34759.48"/>
        <n v="0.0"/>
        <n v="50333.640000000014"/>
        <n v="2665.81"/>
        <n v="636770.75"/>
        <n v="89149.12999999999"/>
        <n v="39479.79"/>
        <n v="9233.21"/>
        <n v="47250.0"/>
        <n v="334181.54000000004"/>
        <n v="21815.619999999995"/>
        <n v="111714.7"/>
        <n v="6358.5599999999995"/>
        <n v="17500.0"/>
        <n v="2450.0"/>
        <n v="1085.0"/>
        <n v="253.75"/>
        <n v="1968.75"/>
        <n v="159106.71"/>
        <n v="4200.0"/>
        <n v="260.4"/>
        <n v="60.900000000000006"/>
        <n v="102286.93"/>
        <n v="9866.5"/>
        <n v="250.0"/>
        <n v="13604.0"/>
        <n v="10934.6"/>
        <n v="10135.2"/>
        <n v="64233.609999999986"/>
        <n v="164434.83"/>
        <n v="3000.0"/>
        <n v="6400.0"/>
        <n v="14375.0"/>
        <n v="5833.38"/>
        <n v="43667.590000000004"/>
        <n v="11666.69"/>
        <n v="281809.43"/>
        <n v="4620.0"/>
        <n v="2300.0"/>
        <n v="3781.0"/>
        <n v="28308.0"/>
        <n v="1858.5"/>
        <n v="1185.8"/>
        <n v="61333.0"/>
        <n v="88588.50000000001"/>
        <n v="583.3800000000001"/>
        <n v="3620.880000000001"/>
        <n v="405272.56000000006"/>
        <n v="527421.32"/>
        <n v="100.0"/>
        <n v="1800.0"/>
        <n v="1640.31"/>
        <n v="3465.0"/>
        <n v="7.0"/>
        <n v="1488.1"/>
        <n v="4751.25"/>
        <n v="69682.06"/>
        <n v="148692.11"/>
        <n v="194266.58000000002"/>
        <n v="1.1099999999999999"/>
        <n v="11708.2"/>
        <n v="110.0"/>
        <n v="3405.0"/>
        <n v="5376.77"/>
        <n v="1753.06"/>
        <n v="525471.6799999999"/>
        <n v="493.40999999999997"/>
        <n v="2176756.0"/>
        <n v="63124.94000000001"/>
        <n v="6865.450000000001"/>
        <n v="34954.22"/>
        <n v="5405.3099999999995"/>
        <n v="73511.06"/>
        <n v="533175.9400000001"/>
        <n v="77261.44"/>
        <n v="32493.04"/>
        <n v="7599.139999999999"/>
        <n v="32747.31"/>
        <n v="329653.12999999995"/>
        <n v="3207.3800000000006"/>
        <n v="70019.17"/>
        <n v="6226.34"/>
        <n v="184499.06999999998"/>
        <n v="2100.0"/>
        <n v="27894.790000000005"/>
        <n v="4276.55"/>
        <n v="2043.2700000000002"/>
        <n v="14637.650000000001"/>
        <n v="22043.43"/>
        <n v="15186.83"/>
        <n v="69901.84"/>
        <n v="170674.56"/>
        <n v="55008.38000000001"/>
        <n v="151.13"/>
        <n v="20600.0"/>
        <n v="1199.9499999999998"/>
        <n v="17135.5"/>
        <n v="642257.2000000001"/>
        <n v="3080.0"/>
        <n v="2563.05"/>
        <n v="5483.8099999999995"/>
        <n v="23805.260000000002"/>
        <n v="2466.16"/>
        <n v="1064.4"/>
        <n v="6758.02"/>
        <n v="111824.27"/>
        <n v="41115.11"/>
        <n v="540218.49"/>
        <n v="153204.89"/>
        <n v="2781.0"/>
        <n v="1625.98"/>
        <n v="262.0"/>
        <n v="3417.43"/>
        <n v="3870.0"/>
        <n v="47876.97"/>
        <n v="123602.26"/>
        <n v="7219.91"/>
        <n v="7990.51"/>
        <n v="6104.46"/>
        <n v="392891.84"/>
        <n v="2804.38"/>
        <n v="276.0"/>
        <n v="23193.25"/>
        <n v="27544.8"/>
        <n v="493.25"/>
        <n v="497.85"/>
        <n v="47.5"/>
        <n v="201.98"/>
        <n v="2648.399999999999"/>
        <n v="3750.0"/>
      </sharedItems>
    </cacheField>
    <cacheField name="2/1/20222" numFmtId="166">
      <sharedItems containsSemiMixedTypes="0" containsString="0" containsNumber="1">
        <n v="174846.0"/>
        <n v="5679.36"/>
        <n v="4566.64"/>
        <n v="283666.6400000001"/>
        <n v="4627.36"/>
        <n v="2774104.0"/>
        <n v="54199.35999999999"/>
        <n v="39725.12"/>
        <n v="0.0"/>
        <n v="70000.0"/>
        <n v="57524.16000000002"/>
        <n v="3046.64"/>
        <n v="727738.0"/>
        <n v="101884.71999999999"/>
        <n v="45119.76"/>
        <n v="10552.24"/>
        <n v="54000.0"/>
        <n v="376255.36000000004"/>
        <n v="23633.579999999994"/>
        <n v="111714.7"/>
        <n v="7336.799999999999"/>
        <n v="20000.0"/>
        <n v="2800.0"/>
        <n v="1240.0"/>
        <n v="290.0"/>
        <n v="2250.0"/>
        <n v="181836.24"/>
        <n v="4800.0"/>
        <n v="297.59999999999997"/>
        <n v="69.60000000000001"/>
        <n v="106627.92"/>
        <n v="9866.5"/>
        <n v="300.0"/>
        <n v="16273.4"/>
        <n v="13121.52"/>
        <n v="12162.240000000002"/>
        <n v="73409.83999999998"/>
        <n v="187925.52"/>
        <n v="3000.0"/>
        <n v="6400.0"/>
        <n v="14375.0"/>
        <n v="6666.72"/>
        <n v="48484.130000000005"/>
        <n v="13333.36"/>
        <n v="322067.92"/>
        <n v="4620.0"/>
        <n v="2300.0"/>
        <n v="4386.0"/>
        <n v="32352.0"/>
        <n v="2124.0"/>
        <n v="1355.2"/>
        <n v="61333.0"/>
        <n v="94627.80000000002"/>
        <n v="666.7200000000001"/>
        <n v="3766.720000000001"/>
        <n v="463168.6400000001"/>
        <n v="527421.32"/>
        <n v="100.0"/>
        <n v="1800.0"/>
        <n v="1874.6399999999999"/>
        <n v="3960.0"/>
        <n v="7.0"/>
        <n v="1488.1"/>
        <n v="5430.0"/>
        <n v="79636.64"/>
        <n v="169933.84"/>
        <n v="223960.52000000002"/>
        <n v="1.2999999999999998"/>
        <n v="13247.550000000001"/>
        <n v="110.0"/>
        <n v="3405.0"/>
        <n v="5556.77"/>
        <n v="1753.06"/>
        <n v="536627.73"/>
        <n v="493.40999999999997"/>
        <n v="2487695.0"/>
        <n v="72108.77"/>
        <n v="6865.450000000001"/>
        <n v="34954.22"/>
        <n v="5828.929999999999"/>
        <n v="73511.06"/>
        <n v="599906.3700000001"/>
        <n v="86603.72"/>
        <n v="36531.93"/>
        <n v="8543.71"/>
        <n v="38767.01"/>
        <n v="370883.12999999995"/>
        <n v="4140.18"/>
        <n v="71680.95"/>
        <n v="6226.34"/>
        <n v="213517.81999999998"/>
        <n v="2100.0"/>
        <n v="47346.72"/>
        <n v="4794.75"/>
        <n v="2043.2700000000002"/>
        <n v="15067.650000000001"/>
        <n v="23693.43"/>
        <n v="17188.83"/>
        <n v="91901.84"/>
        <n v="201474.56"/>
        <n v="57426.680000000015"/>
        <n v="151.13"/>
        <n v="20600.0"/>
        <n v="2783.95"/>
        <n v="18209.5"/>
        <n v="783440.1900000001"/>
        <n v="3080.0"/>
        <n v="2563.05"/>
        <n v="5544.589999999999"/>
        <n v="28079.56"/>
        <n v="2698.75"/>
        <n v="1064.4"/>
        <n v="6758.02"/>
        <n v="130329.59"/>
        <n v="41135.85"/>
        <n v="541289.49"/>
        <n v="153263.37000000002"/>
        <n v="2781.0"/>
        <n v="1625.98"/>
        <n v="262.0"/>
        <n v="3458.22"/>
        <n v="3870.0"/>
        <n v="47876.97"/>
        <n v="142082.26"/>
        <n v="7219.91"/>
        <n v="7990.51"/>
        <n v="6104.46"/>
        <n v="392891.84"/>
        <n v="2804.38"/>
        <n v="276.0"/>
        <n v="31193.25"/>
        <n v="27544.8"/>
        <n v="663.26"/>
        <n v="525.37"/>
        <n v="47.5"/>
        <n v="201.98"/>
        <n v="2695.599999999999"/>
        <n v="3750.0"/>
      </sharedItems>
    </cacheField>
    <cacheField name="3/1/20222" numFmtId="166">
      <sharedItems containsSemiMixedTypes="0" containsString="0" containsNumber="1">
        <n v="196701.75"/>
        <n v="6389.28"/>
        <n v="5137.47"/>
        <n v="319124.9700000001"/>
        <n v="5205.78"/>
        <n v="3120867.0"/>
        <n v="60974.27999999999"/>
        <n v="44690.76"/>
        <n v="0.0"/>
        <n v="70000.0"/>
        <n v="64714.68000000002"/>
        <n v="3427.47"/>
        <n v="818705.25"/>
        <n v="114620.30999999998"/>
        <n v="50759.73"/>
        <n v="11871.27"/>
        <n v="60750.0"/>
        <n v="418329.18000000005"/>
        <n v="25451.539999999994"/>
        <n v="111714.7"/>
        <n v="8315.039999999999"/>
        <n v="22500.0"/>
        <n v="3150.0"/>
        <n v="1395.0"/>
        <n v="326.25"/>
        <n v="2531.25"/>
        <n v="204565.77"/>
        <n v="5400.0"/>
        <n v="334.79999999999995"/>
        <n v="78.30000000000001"/>
        <n v="110968.91"/>
        <n v="9866.5"/>
        <n v="350.0"/>
        <n v="18942.8"/>
        <n v="15308.44"/>
        <n v="14189.280000000002"/>
        <n v="82586.06999999998"/>
        <n v="211416.21"/>
        <n v="3000.0"/>
        <n v="6400.0"/>
        <n v="14375.0"/>
        <n v="9830.060000000001"/>
        <n v="53300.670000000006"/>
        <n v="15000.03"/>
        <n v="362326.41"/>
        <n v="4620.0"/>
        <n v="2300.0"/>
        <n v="4521.0"/>
        <n v="36396.0"/>
        <n v="2389.5"/>
        <n v="1524.6000000000001"/>
        <n v="61333.0"/>
        <n v="101667.10000000002"/>
        <n v="750.0600000000002"/>
        <n v="3912.5600000000013"/>
        <n v="521064.7200000001"/>
        <n v="527421.32"/>
        <n v="100.0"/>
        <n v="1800.0"/>
        <n v="2108.97"/>
        <n v="4455.0"/>
        <n v="7.0"/>
        <n v="1488.1"/>
        <n v="6108.75"/>
        <n v="89591.22"/>
        <n v="191175.57"/>
        <n v="249821.78000000003"/>
        <n v="1.4699999999999998"/>
        <n v="14801.95"/>
        <n v="110.0"/>
        <n v="3630.0"/>
        <n v="5606.77"/>
        <n v="1753.06"/>
        <n v="536736.9299999999"/>
        <n v="493.40999999999997"/>
        <n v="2995466.0"/>
        <n v="81124.36"/>
        <n v="16554.9"/>
        <n v="74515.26"/>
        <n v="42631.14"/>
        <n v="6480.749999999999"/>
        <n v="73511.06"/>
        <n v="670036.6400000001"/>
        <n v="97652.94"/>
        <n v="40704.78"/>
        <n v="9519.609999999999"/>
        <n v="46705.340000000004"/>
        <n v="412940.6"/>
        <n v="6548.85"/>
        <n v="82306.75"/>
        <n v="8545.34"/>
        <n v="241677.81999999998"/>
        <n v="2100.0"/>
        <n v="72445.72"/>
        <n v="6885.0"/>
        <n v="2382.7400000000002"/>
        <n v="15414.150000000001"/>
        <n v="29798.43"/>
        <n v="20083.5"/>
        <n v="113901.84"/>
        <n v="232274.56"/>
        <n v="58026.680000000015"/>
        <n v="151.13"/>
        <n v="20600.0"/>
        <n v="10483.95"/>
        <n v="19283.5"/>
        <n v="592446.5"/>
        <n v="3080.0"/>
        <n v="4118.950000000001"/>
        <n v="5575.699999999999"/>
        <n v="31143.83"/>
        <n v="3298.96"/>
        <n v="1064.4"/>
        <n v="6758.02"/>
        <n v="162222.86"/>
        <n v="41165.85"/>
        <n v="610799.71"/>
        <n v="156096.92"/>
        <n v="2781.0"/>
        <n v="1625.98"/>
        <n v="262.0"/>
        <n v="3752.49"/>
        <n v="4472.55"/>
        <n v="53903.06"/>
        <n v="160562.26"/>
        <n v="7219.91"/>
        <n v="7990.51"/>
        <n v="6104.46"/>
        <n v="392891.84"/>
        <n v="2804.38"/>
        <n v="276.0"/>
        <n v="31193.25"/>
        <n v="27544.8"/>
        <n v="1941.89"/>
        <n v="525.37"/>
        <n v="47.5"/>
        <n v="201.98"/>
        <n v="2742.799999999999"/>
        <n v="3750.0"/>
      </sharedItems>
    </cacheField>
    <cacheField name="4/1/20222">
      <sharedItems containsMixedTypes="1" containsNumber="1">
        <n v="218557.5"/>
        <n v="7099.2"/>
        <n v="5708.3"/>
        <n v="354583.3000000001"/>
        <n v="5784.2"/>
        <n v="3467630.0"/>
        <n v="67749.2"/>
        <n v="49656.4"/>
        <n v="0.0"/>
        <n v="70000.0"/>
        <n v="71905.20000000003"/>
        <n v="3808.2999999999997"/>
        <n v="909672.5"/>
        <n v="127355.89999999998"/>
        <n v="56399.700000000004"/>
        <n v="13190.300000000001"/>
        <n v="67500.0"/>
        <n v="460403.00000000006"/>
        <n v="27269.499999999993"/>
        <n v="111714.7"/>
        <n v="9293.279999999999"/>
        <n v="25000.0"/>
        <n v="3500.0"/>
        <n v="1550.0"/>
        <n v="362.5"/>
        <n v="2812.5"/>
        <n v="227295.3"/>
        <n v="6000.0"/>
        <n v="371.99999999999994"/>
        <n v="87.00000000000001"/>
        <n v="115309.90000000001"/>
        <n v="9866.5"/>
        <n v="400.0"/>
        <n v="21612.2"/>
        <n v="17495.36"/>
        <n v="16216.320000000003"/>
        <n v="91762.29999999997"/>
        <n v="234906.9"/>
        <n v="3000.0"/>
        <n v="6400.0"/>
        <n v="14375.0"/>
        <n v="10663.400000000001"/>
        <n v="58117.21000000001"/>
        <n v="16666.7"/>
        <n v="402584.89999999997"/>
        <n v="4620.0"/>
        <n v="2300.0"/>
        <n v="4656.0"/>
        <n v="40440.0"/>
        <n v="2655.0"/>
        <n v="1694.0000000000002"/>
        <n v="61333.0"/>
        <n v="107706.40000000002"/>
        <n v="833.4000000000002"/>
        <n v="4058.4000000000015"/>
        <n v="578960.8"/>
        <n v="527421.32"/>
        <n v="100.0"/>
        <n v="1800.0"/>
        <n v="2343.2999999999997"/>
        <n v="4950.0"/>
        <n v="7.0"/>
        <n v="1488.1"/>
        <n v="6787.5"/>
        <n v="99545.8"/>
        <n v="212417.30000000002"/>
        <s v=""/>
      </sharedItems>
    </cacheField>
    <cacheField name="5/1/20222">
      <sharedItems containsMixedTypes="1" containsNumber="1">
        <n v="240413.25"/>
        <n v="7809.12"/>
        <n v="6279.13"/>
        <n v="390041.6300000001"/>
        <n v="6362.62"/>
        <n v="3814393.0"/>
        <n v="74524.12"/>
        <n v="54622.04"/>
        <n v="0.0"/>
        <n v="70000.0"/>
        <n v="79095.72000000003"/>
        <n v="4189.13"/>
        <n v="1000639.75"/>
        <n v="140091.49"/>
        <n v="62039.670000000006"/>
        <n v="14509.330000000002"/>
        <n v="74250.0"/>
        <n v="502476.82000000007"/>
        <n v="29087.459999999992"/>
        <n v="258882.7"/>
        <n v="9782.4"/>
        <n v="27500.0"/>
        <n v="3850.0"/>
        <n v="1705.0"/>
        <n v="398.75"/>
        <n v="3093.75"/>
        <n v="250024.83"/>
        <n v="6600.0"/>
        <n v="409.19999999999993"/>
        <n v="95.70000000000002"/>
        <n v="119650.89000000001"/>
        <n v="9866.5"/>
        <n v="450.0"/>
        <n v="24281.600000000002"/>
        <n v="19682.28"/>
        <n v="18243.360000000004"/>
        <n v="100938.52999999997"/>
        <n v="258397.59"/>
        <n v="3000.0"/>
        <n v="6400.0"/>
        <n v="14375.0"/>
        <n v="11496.740000000002"/>
        <n v="62933.75000000001"/>
        <n v="18333.370000000003"/>
        <n v="442843.38999999996"/>
        <n v="4620.0"/>
        <n v="9056.16"/>
        <n v="4791.0"/>
        <n v="44484.0"/>
        <n v="2920.5"/>
        <n v="1863.4000000000003"/>
        <n v="61333.0"/>
        <n v="113910.70000000003"/>
        <n v="916.7400000000002"/>
        <n v="4204.240000000002"/>
        <n v="636856.88"/>
        <n v="527421.32"/>
        <n v="100.0"/>
        <n v="1800.0"/>
        <n v="2577.6299999999997"/>
        <n v="5445.0"/>
        <n v="7.0"/>
        <n v="1488.1"/>
        <n v="7466.25"/>
        <n v="109500.38"/>
        <n v="233659.03000000003"/>
        <s v=""/>
      </sharedItems>
    </cacheField>
    <cacheField name="6/1/20222">
      <sharedItems containsMixedTypes="1" containsNumber="1">
        <n v="262269.0"/>
        <n v="8519.039999999999"/>
        <n v="6849.96"/>
        <n v="425499.96000000014"/>
        <n v="6941.04"/>
        <n v="4161156.0"/>
        <n v="81299.04"/>
        <n v="59587.68"/>
        <n v="0.0"/>
        <n v="70000.0"/>
        <n v="86286.24000000003"/>
        <n v="4569.96"/>
        <n v="194040.01"/>
        <n v="20000.0"/>
        <n v="22492.0"/>
        <n v="752523.0"/>
        <n v="1091607.0"/>
        <n v="152827.08"/>
        <n v="67679.64"/>
        <n v="15828.360000000002"/>
        <n v="81000.0"/>
        <n v="544550.64"/>
        <n v="30299.43999999999"/>
        <n v="260899.1"/>
        <n v="9782.4"/>
        <n v="30000.0"/>
        <n v="4200.0"/>
        <n v="1860.0"/>
        <n v="435.0"/>
        <n v="3375.0"/>
        <n v="272754.36"/>
        <n v="7200.0"/>
        <n v="446.3999999999999"/>
        <n v="104.40000000000002"/>
        <n v="123791.88000000002"/>
        <n v="9866.5"/>
        <n v="500.0"/>
        <n v="26951.000000000004"/>
        <n v="21869.199999999997"/>
        <n v="20270.400000000005"/>
        <n v="110114.75999999997"/>
        <n v="281888.27999999997"/>
        <n v="3000.0"/>
        <n v="6400.0"/>
        <n v="14375.0"/>
        <n v="12330.080000000002"/>
        <n v="67750.29000000001"/>
        <n v="20000.04"/>
        <n v="483101.87999999995"/>
        <n v="4620.0"/>
        <n v="13306.16"/>
        <n v="5232.0"/>
        <n v="48528.0"/>
        <n v="3186.0"/>
        <n v="2032.8000000000004"/>
        <n v="62758.0"/>
        <n v="119950.00000000003"/>
        <n v="1000.0800000000003"/>
        <n v="4350.080000000002"/>
        <n v="694752.96"/>
        <n v="602121.32"/>
        <n v="100.0"/>
        <n v="1800.0"/>
        <n v="2811.9599999999996"/>
        <n v="5940.0"/>
        <n v="7.0"/>
        <n v="1488.1"/>
        <n v="8145.0"/>
        <n v="119454.96"/>
        <n v="254900.76000000004"/>
        <s v=""/>
      </sharedItems>
    </cacheField>
    <cacheField name="7/1/20222" numFmtId="0">
      <sharedItems containsBlank="1">
        <m/>
        <s v="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E172" sheet="Data"/>
  </cacheSource>
  <cacheFields>
    <cacheField name="Stream" numFmtId="0">
      <sharedItems>
        <s v="Budget"/>
        <s v="Actual"/>
      </sharedItems>
    </cacheField>
    <cacheField name="Type" numFmtId="0">
      <sharedItems>
        <s v="Revenues"/>
        <s v="Expenses"/>
      </sharedItems>
    </cacheField>
    <cacheField name="Category" numFmtId="0">
      <sharedItems>
        <s v="1 Local Revenue"/>
        <s v="3 State Revenue"/>
        <s v="4 Federal Revenue"/>
        <s v="1 Salaries"/>
        <s v="2 Benefits and Taxes"/>
        <s v="6 Student Expense, Direct"/>
        <s v="7 Student Expense, Indirect"/>
        <s v="3 Staff Related"/>
        <s v="8 Office and Business"/>
        <s v="5 Occupancy Service"/>
        <s v="4 Rent"/>
        <s v="9 Transportation"/>
      </sharedItems>
    </cacheField>
    <cacheField name="Code" numFmtId="0">
      <sharedItems>
        <s v="0000-5113"/>
        <s v="0000-5151"/>
        <s v="0000-5171"/>
        <s v="0000-5192"/>
        <s v="0000-5198"/>
        <s v="0000-5311"/>
        <s v="0000-5319"/>
        <s v="0000-5412"/>
        <s v="0000-5424"/>
        <s v="0000-5441"/>
        <s v="0000-5445"/>
        <s v="0000-5446"/>
        <s v="0000-5451"/>
        <s v="0000-5461"/>
        <s v="0000-5465"/>
        <s v="0000-5497"/>
        <s v="1131-6111"/>
        <s v="1131-6211"/>
        <s v="1131-6231"/>
        <s v="1131-6232"/>
        <s v="1131-6241"/>
        <s v="1131-6319"/>
        <s v="1131-6411"/>
        <s v="1131-6412"/>
        <s v="1131-6431"/>
        <s v="1221-6151"/>
        <s v="1221-6211"/>
        <s v="1221-6231"/>
        <s v="1221-6232"/>
        <s v="1221-6241"/>
        <s v="1221-6319"/>
        <s v="1411-6131"/>
        <s v="1411-6231"/>
        <s v="1411-6232"/>
        <s v="1411-6319"/>
        <s v="1411-6411"/>
        <s v="2134-6411"/>
        <s v="2142-6319"/>
        <s v="2152-6319"/>
        <s v="2162-6319"/>
        <s v="2191-6319"/>
        <s v="2211-6319"/>
        <s v="2213-6319"/>
        <s v="2213-6343"/>
        <s v="2311-6315"/>
        <s v="2311-6317"/>
        <s v="2311-6352"/>
        <s v="2321-6271"/>
        <s v="2321-6319"/>
        <s v="2321-6371"/>
        <s v="2321-6411"/>
        <s v="2323-6411"/>
        <s v="2331-6316"/>
        <s v="2331-6338"/>
        <s v="2331-6361"/>
        <s v="2331-6412"/>
        <s v="2511-6319"/>
        <s v="2511-6411"/>
        <s v="2542-6332"/>
        <s v="2542-6333"/>
        <s v="2542-6411"/>
        <s v="2546-6319"/>
        <s v="2546-6412"/>
        <s v="2551-6341"/>
        <s v="2551-6342"/>
        <s v="2562-6319"/>
        <s v="2562-6411"/>
        <s v="2563-6319"/>
        <s v="2563-6391"/>
        <s v="2911-6319"/>
        <s v="0000-5141"/>
        <s v="0000-5161"/>
        <s v="0000-5172"/>
        <s v="0000-5471"/>
        <s v="0000-5841"/>
        <s v="2323-6319"/>
        <s v="2542-6319"/>
        <s v="1131-6337"/>
        <s v="1221-6411"/>
        <s v="2321-6343"/>
        <s v="2321-6391"/>
        <s v="2321-6412"/>
        <s v="2331-6319"/>
        <s v="2551-6319"/>
        <s v="0000-5179"/>
        <s v="1913-6319"/>
        <s v="PayPal Fe"/>
      </sharedItems>
    </cacheField>
    <cacheField name="7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53222.119999999995"/>
        <n v="1817.96"/>
        <n v="96724.7"/>
        <n v="489.12"/>
        <n v="2500.0"/>
        <n v="350.0"/>
        <n v="155.0"/>
        <n v="36.25"/>
        <n v="281.25"/>
        <n v="22729.53"/>
        <n v="600.0"/>
        <n v="37.2"/>
        <n v="8.7"/>
        <n v="4140.99"/>
        <n v="9176.23"/>
        <n v="23490.69"/>
        <n v="833.34"/>
        <n v="14768.35"/>
        <n v="1666.67"/>
        <n v="40258.49"/>
        <n v="4044.0"/>
        <n v="265.5"/>
        <n v="169.4"/>
        <n v="23989.3"/>
        <n v="83.34"/>
        <n v="145.84"/>
        <n v="57896.08"/>
        <n v="234.33"/>
        <n v="495.0"/>
        <n v="7.0"/>
        <n v="744.05"/>
        <n v="678.75"/>
        <n v="9954.58"/>
        <n v="21241.73"/>
        <n v="14087.28"/>
        <n v="0.18"/>
        <n v="545.0"/>
        <m/>
        <n v="490.0"/>
        <n v="37308.65"/>
        <n v="251.0"/>
        <n v="168508.0"/>
        <n v="10832.29"/>
        <n v="4180.68"/>
        <n v="275.75"/>
        <n v="73511.06"/>
        <n v="72029.51"/>
        <n v="10444.28"/>
        <n v="4436.47"/>
        <n v="1037.56"/>
        <n v="1263.08"/>
        <n v="57108.68"/>
        <n v="24.85"/>
        <n v="66376.65"/>
        <n v="28271.54"/>
        <n v="3327.44"/>
        <n v="105.21"/>
        <n v="38.04"/>
        <n v="1925.0"/>
        <n v="412.5"/>
        <n v="618.75"/>
        <n v="8801.12"/>
        <n v="31500.34"/>
        <n v="45000.0"/>
        <n v="10600.0"/>
        <n v="391.44"/>
        <n v="8503.5"/>
        <n v="66963.11"/>
        <n v="2330.0"/>
        <n v="84.34"/>
        <n v="350.61"/>
        <n v="3435.15"/>
        <n v="232.59"/>
        <n v="6758.02"/>
        <n v="27790.5"/>
        <n v="32314.2"/>
        <n v="19343.47"/>
        <n v="64294.92"/>
        <n v="2781.0"/>
        <n v="1463.98"/>
        <n v="63.05"/>
        <n v="585.0"/>
        <n v="6572.74"/>
        <n v="18355.68"/>
        <n v="7219.91"/>
        <n v="7990.51"/>
        <n v="2804.38"/>
        <n v="25336.0"/>
        <n v="201.98"/>
        <n v="47.2"/>
        <n v="3750.0"/>
      </sharedItems>
    </cacheField>
    <cacheField name="8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51585.42"/>
        <n v="6059.9"/>
        <n v="14990.0"/>
        <n v="978.24"/>
        <n v="2500.0"/>
        <n v="350.0"/>
        <n v="155.0"/>
        <n v="36.25"/>
        <n v="281.25"/>
        <n v="22729.53"/>
        <n v="600.0"/>
        <n v="37.2"/>
        <n v="8.7"/>
        <n v="40390.99"/>
        <n v="4933.25"/>
        <n v="50.0"/>
        <n v="2926.4"/>
        <n v="2186.92"/>
        <n v="2027.04"/>
        <n v="9176.23"/>
        <n v="23490.69"/>
        <n v="833.34"/>
        <n v="4816.54"/>
        <n v="1666.67"/>
        <n v="40258.49"/>
        <n v="2300.0"/>
        <n v="601.0"/>
        <n v="4044.0"/>
        <n v="265.5"/>
        <n v="169.4"/>
        <n v="46333.0"/>
        <n v="29152.7"/>
        <n v="83.34"/>
        <n v="2745.84"/>
        <n v="57896.08"/>
        <n v="527421.32"/>
        <n v="100.0"/>
        <n v="1800.0"/>
        <n v="234.33"/>
        <n v="495.0"/>
        <n v="678.75"/>
        <n v="9954.58"/>
        <n v="21241.73"/>
        <n v="50662.05"/>
        <m/>
        <n v="3400.0"/>
        <n v="110.0"/>
        <n v="160.0"/>
        <n v="2379.5"/>
        <n v="8297.04"/>
        <n v="170136.0"/>
        <n v="8860.7"/>
        <n v="4986.02"/>
        <n v="70114.35"/>
        <n v="10166.6"/>
        <n v="4241.12"/>
        <n v="991.87"/>
        <n v="5523.47"/>
        <n v="34607.81"/>
        <n v="74.74"/>
        <n v="75.9"/>
        <n v="2512.09"/>
        <n v="24204.68"/>
        <n v="5228.55"/>
        <n v="133.13"/>
        <n v="59.95"/>
        <n v="2285.0"/>
        <n v="2200.0"/>
        <n v="1655.33"/>
        <n v="7907.73"/>
        <n v="21447.68"/>
        <n v="286.59"/>
        <n v="39006.59"/>
        <n v="750.0"/>
        <n v="75.51"/>
        <n v="3443.43"/>
        <n v="232.59"/>
        <n v="13439.02"/>
        <n v="150.0"/>
        <n v="99618.47"/>
        <n v="55558.81"/>
        <n v="234.0"/>
        <n v="113.85"/>
        <n v="16153.24"/>
        <n v="21843.25"/>
        <n v="1100.0"/>
        <n v="2.0"/>
        <n v="47.2"/>
      </sharedItems>
    </cacheField>
    <cacheField name="9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3746.52"/>
        <n v="6059.9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3000.0"/>
        <n v="6400.0"/>
        <n v="14375.0"/>
        <n v="833.34"/>
        <n v="4816.54"/>
        <n v="1666.67"/>
        <n v="40258.49"/>
        <n v="135.0"/>
        <n v="4044.0"/>
        <n v="265.5"/>
        <n v="169.4"/>
        <n v="11289.3"/>
        <n v="83.34"/>
        <n v="145.84"/>
        <n v="57896.08"/>
        <n v="234.33"/>
        <n v="495.0"/>
        <n v="678.75"/>
        <n v="9954.58"/>
        <n v="21241.73"/>
        <n v="28829.07"/>
        <n v="0.2"/>
        <n v="1345.0"/>
        <m/>
        <n v="2490.0"/>
        <n v="752.27"/>
        <n v="15.28"/>
        <n v="257019.0"/>
        <n v="9840.03"/>
        <n v="68891.04"/>
        <n v="9989.22"/>
        <n v="4175.76"/>
        <n v="976.59"/>
        <n v="5145.66"/>
        <n v="35839.74"/>
        <n v="2301.25"/>
        <n v="172.1"/>
        <n v="24204.68"/>
        <n v="2228.55"/>
        <n v="939.56"/>
        <n v="168.6"/>
        <n v="2669.11"/>
        <n v="2983.8"/>
        <n v="741.0"/>
        <n v="7907.73"/>
        <n v="21563.19"/>
        <n v="550.0"/>
        <n v="9000.0"/>
        <n v="219.02"/>
        <n v="357.0"/>
        <n v="39042.12"/>
        <n v="16.03"/>
        <n v="3420.0"/>
        <n v="429.26"/>
        <n v="8431.09"/>
        <n v="109.46"/>
        <n v="77620.45"/>
        <n v="29307.27"/>
        <n v="25.44"/>
        <n v="16186.78"/>
        <n v="925.0"/>
        <n v="398.65"/>
        <n v="2365.2"/>
      </sharedItems>
    </cacheField>
    <cacheField name="10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6059.9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13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27812.29"/>
        <n v="0.35"/>
        <n v="529.35"/>
        <m/>
        <n v="-40.0"/>
        <n v="280.0"/>
        <n v="2138.71"/>
        <n v="242.41"/>
        <n v="671537.0"/>
        <n v="9875.65"/>
        <n v="6802.44"/>
        <n v="673.89"/>
        <n v="84501.85"/>
        <n v="12252.76"/>
        <n v="5146.98"/>
        <n v="1203.73"/>
        <n v="5493.11"/>
        <n v="49022.78"/>
        <n v="270.59"/>
        <n v="43.52"/>
        <n v="28652.82"/>
        <n v="5701.56"/>
        <n v="1740.7"/>
        <n v="283.59"/>
        <n v="1377.5"/>
        <n v="6184.39"/>
        <n v="6987.19"/>
        <n v="9382.29"/>
        <n v="25695.58"/>
        <n v="3293.55"/>
        <n v="151.13"/>
        <n v="774.0"/>
        <n v="66651.46"/>
        <n v="154.6"/>
        <n v="36.01"/>
        <n v="3454.18"/>
        <n v="232.59"/>
        <n v="16357.72"/>
        <n v="567.34"/>
        <n v="68677.22"/>
        <n v="329.81"/>
        <n v="100.0"/>
        <n v="66.5"/>
        <n v="123.39"/>
        <n v="1215.0"/>
        <n v="17188.33"/>
        <n v="18028.49"/>
        <n v="392891.84"/>
        <n v="4.0"/>
        <n v="47.2"/>
      </sharedItems>
    </cacheField>
    <cacheField name="11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4620.0"/>
        <n v="60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17222.54"/>
        <m/>
        <n v="1655.45"/>
        <n v="500.0"/>
        <n v="390.0"/>
        <n v="1753.06"/>
        <n v="161061.0"/>
        <n v="350761.0"/>
        <n v="5667.97"/>
        <n v="5287.01"/>
        <n v="729.71"/>
        <n v="70811.68"/>
        <n v="10267.71"/>
        <n v="4226.36"/>
        <n v="988.42"/>
        <n v="10796.88"/>
        <n v="44235.29"/>
        <n v="258.88"/>
        <n v="10.99"/>
        <n v="3215.85"/>
        <n v="28446.64"/>
        <n v="1999.74"/>
        <n v="934.31"/>
        <n v="123.0"/>
        <n v="2745.54"/>
        <n v="3662.74"/>
        <n v="1197.9"/>
        <n v="11035.33"/>
        <n v="21717.68"/>
        <n v="2159.48"/>
        <n v="1074.0"/>
        <n v="38520.21"/>
        <n v="2086.34"/>
        <n v="955.2"/>
        <n v="3437.62"/>
        <n v="232.59"/>
        <n v="11070.54"/>
        <n v="28.04"/>
        <n v="137604.44"/>
        <n v="504.78"/>
        <n v="17.5"/>
        <n v="715.71"/>
        <n v="855.0"/>
        <n v="9916.15"/>
        <n v="15948.0"/>
        <n v="12.99"/>
        <n v="47.2"/>
      </sharedItems>
    </cacheField>
    <cacheField name="12/1/2021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57073.82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2305.0"/>
        <n v="4044.0"/>
        <n v="265.5"/>
        <n v="169.4"/>
        <n v="15000.0"/>
        <n v="6039.3"/>
        <n v="83.34"/>
        <n v="145.84"/>
        <n v="57896.08"/>
        <n v="234.33"/>
        <n v="495.0"/>
        <n v="678.75"/>
        <n v="9954.58"/>
        <n v="21241.73"/>
        <n v="25275.74"/>
        <n v="0.19"/>
        <n v="4088.4"/>
        <m/>
        <n v="295.0"/>
        <n v="580.0"/>
        <n v="216449.0"/>
        <n v="252900.0"/>
        <n v="9012.59"/>
        <n v="1879.43"/>
        <n v="96112.1"/>
        <n v="14240.74"/>
        <n v="5989.42"/>
        <n v="1400.73"/>
        <n v="4751.37"/>
        <n v="58722.16"/>
        <n v="217.07"/>
        <n v="3107.24"/>
        <n v="29417.3"/>
        <n v="2100.0"/>
        <n v="7319.58"/>
        <n v="234.51"/>
        <n v="1138.13"/>
        <n v="423.5"/>
        <n v="3300.0"/>
        <n v="2985.66"/>
        <n v="15455.86"/>
        <n v="26990.12"/>
        <n v="1869.05"/>
        <n v="1000.0"/>
        <n v="302.9"/>
        <n v="1074.0"/>
        <n v="347598.7"/>
        <n v="88.95"/>
        <n v="4141.99"/>
        <n v="3457.52"/>
        <n v="873.95"/>
        <n v="14749.16"/>
        <n v="7946.07"/>
        <n v="2925.85"/>
        <n v="78.0"/>
        <n v="2480.74"/>
        <n v="1215.0"/>
        <n v="14199.75"/>
        <n v="21756.12"/>
        <n v="276.0"/>
        <n v="425.0"/>
        <n v="1108.8"/>
        <n v="478.86"/>
        <n v="47.5"/>
        <n v="47.2"/>
      </sharedItems>
    </cacheField>
    <cacheField name="1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4406.02"/>
        <n v="1817.96"/>
        <n v="978.24"/>
        <n v="2500.0"/>
        <n v="350.0"/>
        <n v="155.0"/>
        <n v="36.25"/>
        <n v="281.25"/>
        <n v="22729.53"/>
        <n v="600.0"/>
        <n v="37.2"/>
        <n v="8.7"/>
        <n v="40390.99"/>
        <n v="4933.25"/>
        <n v="9176.23"/>
        <n v="23490.69"/>
        <n v="833.34"/>
        <n v="4816.54"/>
        <n v="1666.67"/>
        <n v="40258.49"/>
        <n v="4044.0"/>
        <n v="265.5"/>
        <n v="169.4"/>
        <n v="6039.3"/>
        <n v="83.34"/>
        <n v="145.84"/>
        <n v="57896.08"/>
        <n v="234.33"/>
        <n v="495.0"/>
        <n v="744.05"/>
        <n v="678.75"/>
        <n v="9954.58"/>
        <n v="21241.73"/>
        <n v="30377.61"/>
        <n v="0.19"/>
        <n v="145.0"/>
        <m/>
        <n v="505.0"/>
        <n v="100202.0"/>
        <n v="305895.0"/>
        <n v="9035.71"/>
        <n v="18684.09"/>
        <n v="3725.96"/>
        <n v="70715.41"/>
        <n v="9900.13"/>
        <n v="4276.93"/>
        <n v="1000.24"/>
        <n v="-226.26"/>
        <n v="50116.67"/>
        <n v="60.0"/>
        <n v="276.29"/>
        <n v="454.88"/>
        <n v="21301.41"/>
        <n v="2089.37"/>
        <n v="189.13"/>
        <n v="231.96"/>
        <n v="3212.0"/>
        <n v="3300.0"/>
        <n v="1001.0"/>
        <n v="9411.78"/>
        <n v="21759.97"/>
        <n v="2136.3"/>
        <n v="5353.0"/>
        <n v="44475.01"/>
        <n v="57.28"/>
        <n v="3157.36"/>
        <n v="232.59"/>
        <n v="48.0"/>
        <n v="19986.24"/>
        <n v="137354.44"/>
        <n v="283.45"/>
        <n v="21.0"/>
        <n v="-104.75"/>
        <n v="17173.95"/>
        <n v="6104.46"/>
        <n v="94.6"/>
        <n v="47.2"/>
        <n v="4604.83"/>
      </sharedItems>
    </cacheField>
    <cacheField name="2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70000.0"/>
        <n v="7190.52"/>
        <n v="380.83"/>
        <n v="0.0"/>
        <n v="90967.25"/>
        <n v="12735.59"/>
        <n v="5639.97"/>
        <n v="1319.03"/>
        <n v="6750.0"/>
        <n v="42073.82"/>
        <n v="1817.96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60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29693.94"/>
        <n v="0.19"/>
        <n v="1539.35"/>
        <m/>
        <n v="180.0"/>
        <n v="11156.05"/>
        <n v="310939.0"/>
        <n v="8983.83"/>
        <n v="423.62"/>
        <n v="66730.43"/>
        <n v="9342.28"/>
        <n v="4038.89"/>
        <n v="944.57"/>
        <n v="6019.7"/>
        <n v="41230.0"/>
        <n v="932.8"/>
        <n v="1661.78"/>
        <n v="29018.75"/>
        <n v="19451.93"/>
        <n v="518.2"/>
        <n v="430.0"/>
        <n v="1650.0"/>
        <n v="2002.0"/>
        <n v="22000.0"/>
        <n v="30800.0"/>
        <n v="2418.3"/>
        <n v="1584.0"/>
        <n v="1074.0"/>
        <n v="141182.99"/>
        <n v="60.78"/>
        <n v="4274.3"/>
        <n v="232.59"/>
        <n v="18505.32"/>
        <n v="20.74"/>
        <n v="1071.0"/>
        <n v="58.48"/>
        <n v="40.79"/>
        <n v="18480.0"/>
        <n v="8000.0"/>
        <n v="170.01"/>
        <n v="27.52"/>
        <n v="47.2"/>
        <n v="3029.43"/>
      </sharedItems>
    </cacheField>
    <cacheField name="3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1817.96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3163.34"/>
        <n v="4816.54"/>
        <n v="1666.67"/>
        <n v="40258.49"/>
        <n v="135.0"/>
        <n v="4044.0"/>
        <n v="265.5"/>
        <n v="169.4"/>
        <n v="7039.3"/>
        <n v="83.34"/>
        <n v="145.84"/>
        <n v="57896.08"/>
        <n v="234.33"/>
        <n v="495.0"/>
        <n v="678.75"/>
        <n v="9954.58"/>
        <n v="21241.73"/>
        <n v="25861.26"/>
        <n v="0.17"/>
        <n v="1554.4"/>
        <m/>
        <n v="225.0"/>
        <n v="109.2"/>
        <n v="507771.0"/>
        <n v="9015.59"/>
        <n v="9689.45"/>
        <n v="74515.26"/>
        <n v="7676.92"/>
        <n v="651.82"/>
        <n v="70130.27"/>
        <n v="11049.22"/>
        <n v="4172.85"/>
        <n v="975.9"/>
        <n v="7938.33"/>
        <n v="42057.47"/>
        <n v="2408.67"/>
        <n v="10625.8"/>
        <n v="2319.0"/>
        <n v="28160.0"/>
        <n v="25099.0"/>
        <n v="2090.25"/>
        <n v="339.47"/>
        <n v="346.5"/>
        <n v="6105.0"/>
        <n v="2894.67"/>
        <n v="22000.0"/>
        <n v="30800.0"/>
        <n v="7700.0"/>
        <n v="1074.0"/>
        <n v="-190993.69"/>
        <n v="1555.9"/>
        <n v="31.11"/>
        <n v="3064.27"/>
        <n v="600.21"/>
        <n v="31893.27"/>
        <n v="30.0"/>
        <n v="69510.22"/>
        <n v="2833.55"/>
        <n v="294.27"/>
        <n v="602.55"/>
        <n v="6026.09"/>
        <n v="18480.0"/>
        <n v="1278.63"/>
        <n v="47.2"/>
      </sharedItems>
    </cacheField>
    <cacheField name="4/1/2022">
      <sharedItems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1817.96"/>
        <n v="978.24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135.0"/>
        <n v="4044.0"/>
        <n v="265.5"/>
        <n v="169.4"/>
        <n v="6039.3"/>
        <n v="83.34"/>
        <n v="145.84"/>
        <n v="57896.08"/>
        <n v="234.33"/>
        <n v="495.0"/>
        <n v="678.75"/>
        <n v="9954.58"/>
        <n v="21241.73"/>
        <n v="249821.78"/>
        <n v="1.47"/>
        <n v="14801.95"/>
        <n v="110.0"/>
        <n v="3630.0"/>
        <n v="5606.77"/>
        <n v="1753.06"/>
        <n v="536736.93"/>
        <n v="493.41"/>
        <n v="2995466.0"/>
        <n v="81124.36"/>
        <n v="16554.9"/>
        <n v="74515.26"/>
        <n v="42631.14"/>
        <n v="6480.75"/>
        <n v="73511.06"/>
        <n v="670036.64"/>
        <n v="97652.94"/>
        <n v="40704.78"/>
        <n v="9519.61"/>
        <n v="46705.34"/>
        <n v="412940.6"/>
        <n v="6548.85"/>
        <n v="82306.75"/>
        <n v="8545.34"/>
        <n v="241677.82"/>
        <n v="2100.0"/>
        <n v="72445.72"/>
        <n v="6885.0"/>
        <n v="2382.74"/>
        <n v="15414.15"/>
        <n v="29798.43"/>
        <n v="20083.5"/>
        <n v="113901.84"/>
        <n v="232274.56"/>
        <n v="58026.68"/>
        <n v="151.13"/>
        <n v="20600.0"/>
        <n v="10483.95"/>
        <n v="19283.5"/>
        <n v="592446.5"/>
        <n v="3080.0"/>
        <n v="4118.95"/>
        <n v="5575.7"/>
        <n v="31143.83"/>
        <n v="3298.96"/>
        <n v="1064.4"/>
        <n v="6758.02"/>
        <n v="162222.86"/>
        <n v="41165.85"/>
        <n v="610799.71"/>
        <n v="156096.92"/>
        <n v="100.0"/>
        <n v="2781.0"/>
        <n v="1625.98"/>
        <n v="262.0"/>
        <n v="3752.49"/>
        <n v="4472.55"/>
        <n v="53903.06"/>
        <n v="160562.26"/>
        <n v="7219.91"/>
        <n v="7990.51"/>
        <n v="6104.46"/>
        <n v="392891.84"/>
        <n v="2804.38"/>
        <n v="276.0"/>
        <n v="31193.25"/>
        <n v="27544.8"/>
        <n v="1941.89"/>
        <n v="525.37"/>
        <n v="47.5"/>
        <n v="201.98"/>
        <n v="2742.8"/>
        <n v="3750.0"/>
        <n v="7634.26"/>
      </sharedItems>
    </cacheField>
    <cacheField name="5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90967.25"/>
        <n v="12735.59"/>
        <n v="5639.97"/>
        <n v="1319.03"/>
        <n v="6750.0"/>
        <n v="42073.82"/>
        <n v="1817.96"/>
        <n v="147168.0"/>
        <n v="489.12"/>
        <n v="2500.0"/>
        <n v="350.0"/>
        <n v="155.0"/>
        <n v="36.25"/>
        <n v="281.25"/>
        <n v="22729.53"/>
        <n v="600.0"/>
        <n v="37.2"/>
        <n v="8.7"/>
        <n v="4340.99"/>
        <n v="50.0"/>
        <n v="2669.4"/>
        <n v="2186.92"/>
        <n v="2027.04"/>
        <n v="9176.23"/>
        <n v="23490.69"/>
        <n v="833.34"/>
        <n v="4816.54"/>
        <n v="1666.67"/>
        <n v="40258.49"/>
        <n v="6756.16"/>
        <n v="135.0"/>
        <n v="4044.0"/>
        <n v="265.5"/>
        <n v="169.4"/>
        <n v="6204.3"/>
        <n v="83.34"/>
        <n v="145.84"/>
        <n v="57896.08"/>
        <n v="234.33"/>
        <n v="495.0"/>
        <n v="678.75"/>
        <n v="9954.58"/>
        <n v="21241.73"/>
        <m/>
      </sharedItems>
    </cacheField>
    <cacheField name="6/1/2022">
      <sharedItems containsBlank="1" containsMixedTypes="1" containsNumber="1">
        <n v="21855.75"/>
        <n v="709.92"/>
        <n v="570.83"/>
        <n v="35458.33"/>
        <n v="578.42"/>
        <n v="346763.0"/>
        <n v="6774.92"/>
        <n v="4965.64"/>
        <s v=""/>
        <n v="0.0"/>
        <n v="7190.52"/>
        <n v="380.83"/>
        <n v="194040.01"/>
        <n v="20000.0"/>
        <n v="22492.0"/>
        <n v="752523.0"/>
        <n v="90967.25"/>
        <n v="12735.59"/>
        <n v="5639.97"/>
        <n v="1319.03"/>
        <n v="6750.0"/>
        <n v="42073.82"/>
        <n v="1211.98"/>
        <n v="2016.4"/>
        <n v="2500.0"/>
        <n v="350.0"/>
        <n v="155.0"/>
        <n v="36.25"/>
        <n v="281.25"/>
        <n v="22729.53"/>
        <n v="600.0"/>
        <n v="37.2"/>
        <n v="8.7"/>
        <n v="4140.99"/>
        <n v="50.0"/>
        <n v="2669.4"/>
        <n v="2186.92"/>
        <n v="2027.04"/>
        <n v="9176.23"/>
        <n v="23490.69"/>
        <n v="833.34"/>
        <n v="4816.54"/>
        <n v="1666.67"/>
        <n v="40258.49"/>
        <n v="4250.0"/>
        <n v="441.0"/>
        <n v="4044.0"/>
        <n v="265.5"/>
        <n v="169.4"/>
        <n v="1425.0"/>
        <n v="6039.3"/>
        <n v="83.34"/>
        <n v="145.84"/>
        <n v="57896.08"/>
        <n v="74700.0"/>
        <n v="234.33"/>
        <n v="495.0"/>
        <n v="678.75"/>
        <n v="9954.58"/>
        <n v="21241.73"/>
        <m/>
      </sharedItems>
    </cacheField>
    <cacheField name="7/1/2022" numFmtId="0">
      <sharedItems containsBlank="1">
        <m/>
        <s v=""/>
      </sharedItems>
    </cacheField>
    <cacheField name=" " numFmtId="0">
      <sharedItems containsString="0" containsBlank="1">
        <m/>
      </sharedItems>
    </cacheField>
    <cacheField name="7/1/20212" numFmtId="166">
      <sharedItems containsSemiMixedTypes="0" containsString="0" containsNumber="1">
        <n v="21855.75"/>
        <n v="709.92"/>
        <n v="570.83"/>
        <n v="35458.33"/>
        <n v="578.42"/>
        <n v="346763.0"/>
        <n v="6774.92"/>
        <n v="4965.64"/>
        <n v="0.0"/>
        <n v="7190.52"/>
        <n v="380.83"/>
        <n v="90967.25"/>
        <n v="12735.59"/>
        <n v="5639.97"/>
        <n v="1319.03"/>
        <n v="6750.0"/>
        <n v="53222.119999999995"/>
        <n v="1817.96"/>
        <n v="96724.7"/>
        <n v="489.12"/>
        <n v="2500.0"/>
        <n v="350.0"/>
        <n v="155.0"/>
        <n v="36.25"/>
        <n v="281.25"/>
        <n v="22729.53"/>
        <n v="600.0"/>
        <n v="37.2"/>
        <n v="8.7"/>
        <n v="4140.99"/>
        <n v="9176.23"/>
        <n v="23490.69"/>
        <n v="833.34"/>
        <n v="14768.35"/>
        <n v="1666.67"/>
        <n v="40258.49"/>
        <n v="4044.0"/>
        <n v="265.5"/>
        <n v="169.4"/>
        <n v="23989.3"/>
        <n v="83.34"/>
        <n v="145.84"/>
        <n v="57896.08"/>
        <n v="234.33"/>
        <n v="495.0"/>
        <n v="7.0"/>
        <n v="744.05"/>
        <n v="678.75"/>
        <n v="9954.58"/>
        <n v="21241.73"/>
        <n v="14087.28"/>
        <n v="0.18"/>
        <n v="545.0"/>
        <n v="490.0"/>
        <n v="37308.65"/>
        <n v="251.0"/>
        <n v="168508.0"/>
        <n v="10832.29"/>
        <n v="4180.68"/>
        <n v="275.75"/>
        <n v="73511.06"/>
        <n v="72029.51"/>
        <n v="10444.28"/>
        <n v="4436.47"/>
        <n v="1037.56"/>
        <n v="1263.08"/>
        <n v="57108.68"/>
        <n v="24.85"/>
        <n v="66376.65"/>
        <n v="28271.54"/>
        <n v="3327.44"/>
        <n v="105.21"/>
        <n v="38.04"/>
        <n v="1925.0"/>
        <n v="412.5"/>
        <n v="618.75"/>
        <n v="8801.12"/>
        <n v="31500.34"/>
        <n v="45000.0"/>
        <n v="10600.0"/>
        <n v="391.44"/>
        <n v="8503.5"/>
        <n v="66963.11"/>
        <n v="2330.0"/>
        <n v="84.34"/>
        <n v="350.61"/>
        <n v="3435.15"/>
        <n v="232.59"/>
        <n v="6758.02"/>
        <n v="27790.5"/>
        <n v="32314.2"/>
        <n v="19343.47"/>
        <n v="64294.92"/>
        <n v="2781.0"/>
        <n v="1463.98"/>
        <n v="63.05"/>
        <n v="585.0"/>
        <n v="6572.74"/>
        <n v="18355.68"/>
        <n v="7219.91"/>
        <n v="7990.51"/>
        <n v="2804.38"/>
        <n v="25336.0"/>
        <n v="201.98"/>
        <n v="47.2"/>
        <n v="3750.0"/>
      </sharedItems>
    </cacheField>
    <cacheField name="8/1/20212" numFmtId="166">
      <sharedItems containsSemiMixedTypes="0" containsString="0" containsNumber="1">
        <n v="43711.5"/>
        <n v="1419.84"/>
        <n v="1141.66"/>
        <n v="70916.66"/>
        <n v="1156.84"/>
        <n v="693526.0"/>
        <n v="13549.84"/>
        <n v="9931.28"/>
        <n v="0.0"/>
        <n v="14381.04"/>
        <n v="761.66"/>
        <n v="181934.5"/>
        <n v="25471.18"/>
        <n v="11279.94"/>
        <n v="2638.06"/>
        <n v="13500.0"/>
        <n v="104807.54"/>
        <n v="7877.86"/>
        <n v="111714.7"/>
        <n v="1467.3600000000001"/>
        <n v="5000.0"/>
        <n v="700.0"/>
        <n v="310.0"/>
        <n v="72.5"/>
        <n v="562.5"/>
        <n v="45459.06"/>
        <n v="1200.0"/>
        <n v="74.4"/>
        <n v="17.4"/>
        <n v="44531.979999999996"/>
        <n v="4933.25"/>
        <n v="50.0"/>
        <n v="2926.4"/>
        <n v="2186.92"/>
        <n v="2027.04"/>
        <n v="18352.46"/>
        <n v="46981.38"/>
        <n v="1666.68"/>
        <n v="19584.89"/>
        <n v="3333.34"/>
        <n v="80516.98"/>
        <n v="2300.0"/>
        <n v="601.0"/>
        <n v="8088.0"/>
        <n v="531.0"/>
        <n v="338.8"/>
        <n v="46333.0"/>
        <n v="53142.0"/>
        <n v="166.68"/>
        <n v="2891.6800000000003"/>
        <n v="115792.16"/>
        <n v="527421.32"/>
        <n v="100.0"/>
        <n v="1800.0"/>
        <n v="468.66"/>
        <n v="990.0"/>
        <n v="7.0"/>
        <n v="744.05"/>
        <n v="1357.5"/>
        <n v="19909.16"/>
        <n v="42483.46"/>
        <n v="64749.33"/>
        <n v="0.18"/>
        <n v="3945.0"/>
        <n v="110.0"/>
        <n v="160.0"/>
        <n v="2869.5"/>
        <n v="45605.69"/>
        <n v="251.0"/>
        <n v="338644.0"/>
        <n v="19692.99"/>
        <n v="4986.02"/>
        <n v="4180.68"/>
        <n v="275.75"/>
        <n v="73511.06"/>
        <n v="142143.86"/>
        <n v="20610.88"/>
        <n v="8677.59"/>
        <n v="2029.4299999999998"/>
        <n v="6786.55"/>
        <n v="91716.48999999999"/>
        <n v="99.59"/>
        <n v="66452.54999999999"/>
        <n v="2512.09"/>
        <n v="52476.22"/>
        <n v="8555.99"/>
        <n v="238.33999999999997"/>
        <n v="97.99000000000001"/>
        <n v="4210.0"/>
        <n v="2612.5"/>
        <n v="2274.08"/>
        <n v="16708.85"/>
        <n v="52948.020000000004"/>
        <n v="45000.0"/>
        <n v="10600.0"/>
        <n v="678.03"/>
        <n v="8503.5"/>
        <n v="105969.7"/>
        <n v="3080.0"/>
        <n v="159.85000000000002"/>
        <n v="350.61"/>
        <n v="6878.58"/>
        <n v="465.18"/>
        <n v="6758.02"/>
        <n v="41229.520000000004"/>
        <n v="32464.2"/>
        <n v="118961.94"/>
        <n v="119853.73"/>
        <n v="2781.0"/>
        <n v="1463.98"/>
        <n v="241.0"/>
        <n v="176.89999999999998"/>
        <n v="585.0"/>
        <n v="6572.74"/>
        <n v="34508.92"/>
        <n v="7219.91"/>
        <n v="7990.51"/>
        <n v="2804.38"/>
        <n v="21843.25"/>
        <n v="26436.0"/>
        <n v="2.0"/>
        <n v="201.98"/>
        <n v="94.4"/>
        <n v="3750.0"/>
      </sharedItems>
    </cacheField>
    <cacheField name="9/1/20212" numFmtId="166">
      <sharedItems containsSemiMixedTypes="0" containsString="0" containsNumber="1">
        <n v="65567.25"/>
        <n v="2129.7599999999998"/>
        <n v="1712.4900000000002"/>
        <n v="106374.99"/>
        <n v="1735.2599999999998"/>
        <n v="1040289.0"/>
        <n v="20324.760000000002"/>
        <n v="14896.920000000002"/>
        <n v="0.0"/>
        <n v="21571.56"/>
        <n v="1142.49"/>
        <n v="272901.75"/>
        <n v="38206.770000000004"/>
        <n v="16919.91"/>
        <n v="3957.09"/>
        <n v="20250.0"/>
        <n v="148554.06"/>
        <n v="13937.759999999998"/>
        <n v="111714.7"/>
        <n v="2445.6000000000004"/>
        <n v="7500.0"/>
        <n v="1050.0"/>
        <n v="465.0"/>
        <n v="108.75"/>
        <n v="843.75"/>
        <n v="68188.59"/>
        <n v="1800.0"/>
        <n v="111.60000000000001"/>
        <n v="26.099999999999998"/>
        <n v="48872.969999999994"/>
        <n v="4933.25"/>
        <n v="100.0"/>
        <n v="5595.8"/>
        <n v="4373.84"/>
        <n v="4054.08"/>
        <n v="27528.69"/>
        <n v="70472.06999999999"/>
        <n v="3000.0"/>
        <n v="6400.0"/>
        <n v="14375.0"/>
        <n v="2500.02"/>
        <n v="24401.43"/>
        <n v="5000.01"/>
        <n v="120775.47"/>
        <n v="2300.0"/>
        <n v="736.0"/>
        <n v="12132.0"/>
        <n v="796.5"/>
        <n v="508.20000000000005"/>
        <n v="46333.0"/>
        <n v="64431.3"/>
        <n v="250.02"/>
        <n v="3037.5200000000004"/>
        <n v="173688.24"/>
        <n v="527421.32"/>
        <n v="702.99"/>
        <n v="1485.0"/>
        <n v="7.0"/>
        <n v="744.05"/>
        <n v="2036.25"/>
        <n v="29863.739999999998"/>
        <n v="63725.19"/>
        <n v="93578.4"/>
        <n v="0.38"/>
        <n v="5290.0"/>
        <n v="110.0"/>
        <n v="2650.0"/>
        <n v="3621.77"/>
        <n v="45620.97"/>
        <n v="251.0"/>
        <n v="595663.0"/>
        <n v="29533.020000000004"/>
        <n v="4986.02"/>
        <n v="4180.68"/>
        <n v="275.75"/>
        <n v="73511.06"/>
        <n v="211034.89999999997"/>
        <n v="30600.1"/>
        <n v="12853.35"/>
        <n v="3006.02"/>
        <n v="11932.21"/>
        <n v="127556.22999999998"/>
        <n v="2400.84"/>
        <n v="66624.65"/>
        <n v="2512.09"/>
        <n v="76680.9"/>
        <n v="10784.54"/>
        <n v="1177.8999999999999"/>
        <n v="266.59000000000003"/>
        <n v="6879.110000000001"/>
        <n v="5596.3"/>
        <n v="3015.08"/>
        <n v="24616.579999999998"/>
        <n v="74511.21"/>
        <n v="45550.0"/>
        <n v="19600.0"/>
        <n v="897.05"/>
        <n v="8860.5"/>
        <n v="145011.82"/>
        <n v="3080.0"/>
        <n v="175.88000000000002"/>
        <n v="350.61"/>
        <n v="10298.58"/>
        <n v="894.44"/>
        <n v="6758.02"/>
        <n v="49660.61"/>
        <n v="32573.66"/>
        <n v="196582.39"/>
        <n v="149161.0"/>
        <n v="2781.0"/>
        <n v="1463.98"/>
        <n v="241.0"/>
        <n v="202.33999999999997"/>
        <n v="585.0"/>
        <n v="6572.74"/>
        <n v="50695.7"/>
        <n v="7219.91"/>
        <n v="7990.51"/>
        <n v="2804.38"/>
        <n v="22768.25"/>
        <n v="26436.0"/>
        <n v="398.65"/>
        <n v="2.0"/>
        <n v="201.98"/>
        <n v="2459.6"/>
        <n v="3750.0"/>
      </sharedItems>
    </cacheField>
    <cacheField name="10/1/20212" numFmtId="166">
      <sharedItems containsSemiMixedTypes="0" containsString="0" containsNumber="1">
        <n v="87423.0"/>
        <n v="2839.68"/>
        <n v="2283.32"/>
        <n v="141833.32"/>
        <n v="2313.68"/>
        <n v="1387052.0"/>
        <n v="27099.68"/>
        <n v="19862.56"/>
        <n v="0.0"/>
        <n v="28762.08"/>
        <n v="1523.32"/>
        <n v="363869.0"/>
        <n v="50942.36"/>
        <n v="22559.88"/>
        <n v="5276.12"/>
        <n v="27000.0"/>
        <n v="190627.88"/>
        <n v="19997.659999999996"/>
        <n v="111714.7"/>
        <n v="3423.84"/>
        <n v="10000.0"/>
        <n v="1400.0"/>
        <n v="620.0"/>
        <n v="145.0"/>
        <n v="1125.0"/>
        <n v="90918.12"/>
        <n v="2400.0"/>
        <n v="148.8"/>
        <n v="34.8"/>
        <n v="53213.95999999999"/>
        <n v="4933.25"/>
        <n v="150.0"/>
        <n v="8265.2"/>
        <n v="6560.76"/>
        <n v="6081.12"/>
        <n v="36704.92"/>
        <n v="93962.76"/>
        <n v="3000.0"/>
        <n v="6400.0"/>
        <n v="14375.0"/>
        <n v="3333.36"/>
        <n v="29217.97"/>
        <n v="6666.68"/>
        <n v="161033.96"/>
        <n v="2300.0"/>
        <n v="871.0"/>
        <n v="16176.0"/>
        <n v="1062.0"/>
        <n v="677.6"/>
        <n v="46333.0"/>
        <n v="70470.6"/>
        <n v="333.36"/>
        <n v="3183.3600000000006"/>
        <n v="231584.32"/>
        <n v="527421.32"/>
        <n v="100.0"/>
        <n v="1800.0"/>
        <n v="937.32"/>
        <n v="1980.0"/>
        <n v="7.0"/>
        <n v="744.05"/>
        <n v="2715.0"/>
        <n v="39818.32"/>
        <n v="84966.92"/>
        <n v="121390.69"/>
        <n v="0.73"/>
        <n v="5819.35"/>
        <n v="110.0"/>
        <n v="2610.0"/>
        <n v="3901.77"/>
        <n v="47759.68"/>
        <n v="493.40999999999997"/>
        <n v="1267200.0"/>
        <n v="39408.670000000006"/>
        <n v="4986.02"/>
        <n v="10983.119999999999"/>
        <n v="949.64"/>
        <n v="73511.06"/>
        <n v="295536.75"/>
        <n v="42852.86"/>
        <n v="18000.33"/>
        <n v="4209.75"/>
        <n v="17425.32"/>
        <n v="176579.00999999998"/>
        <n v="2671.4300000000003"/>
        <n v="66624.65"/>
        <n v="2555.61"/>
        <n v="105333.72"/>
        <n v="16486.100000000002"/>
        <n v="2918.6"/>
        <n v="550.1800000000001"/>
        <n v="8256.61"/>
        <n v="11780.69"/>
        <n v="10002.27"/>
        <n v="33998.869999999995"/>
        <n v="100206.79000000001"/>
        <n v="48843.55"/>
        <n v="151.13"/>
        <n v="19600.0"/>
        <n v="897.05"/>
        <n v="9634.5"/>
        <n v="211663.28000000003"/>
        <n v="3080.0"/>
        <n v="330.48"/>
        <n v="386.62"/>
        <n v="13752.76"/>
        <n v="1127.03"/>
        <n v="6758.02"/>
        <n v="66018.33"/>
        <n v="33141.0"/>
        <n v="265259.61"/>
        <n v="149490.81"/>
        <n v="2781.0"/>
        <n v="1530.48"/>
        <n v="241.0"/>
        <n v="325.72999999999996"/>
        <n v="23761.07"/>
        <n v="68724.19"/>
        <n v="7219.91"/>
        <n v="7990.51"/>
        <n v="392891.84"/>
        <n v="2804.38"/>
        <n v="22768.25"/>
        <n v="26436.0"/>
        <n v="398.65"/>
        <n v="6.0"/>
        <n v="201.98"/>
        <n v="2506.7999999999997"/>
        <n v="3750.0"/>
      </sharedItems>
    </cacheField>
    <cacheField name="11/1/20212" numFmtId="166">
      <sharedItems containsSemiMixedTypes="0" containsString="0" containsNumber="1">
        <n v="109278.75"/>
        <n v="3549.6"/>
        <n v="2854.15"/>
        <n v="177291.65000000002"/>
        <n v="2892.1"/>
        <n v="1733815.0"/>
        <n v="33874.6"/>
        <n v="24828.2"/>
        <n v="0.0"/>
        <n v="35952.600000000006"/>
        <n v="1904.1499999999999"/>
        <n v="454836.25"/>
        <n v="63677.95"/>
        <n v="28199.850000000002"/>
        <n v="6595.15"/>
        <n v="33750.0"/>
        <n v="232701.7"/>
        <n v="19997.659999999996"/>
        <n v="111714.7"/>
        <n v="4402.08"/>
        <n v="12500.0"/>
        <n v="1750.0"/>
        <n v="775.0"/>
        <n v="181.25"/>
        <n v="1406.25"/>
        <n v="113647.65"/>
        <n v="3000.0"/>
        <n v="186.0"/>
        <n v="43.5"/>
        <n v="57554.94999999999"/>
        <n v="4933.25"/>
        <n v="200.0"/>
        <n v="10934.6"/>
        <n v="8747.68"/>
        <n v="8108.16"/>
        <n v="45881.149999999994"/>
        <n v="117453.45"/>
        <n v="6400.0"/>
        <n v="14375.0"/>
        <n v="4166.7"/>
        <n v="34034.51"/>
        <n v="8333.35"/>
        <n v="201292.44999999998"/>
        <n v="4620.0"/>
        <n v="2300.0"/>
        <n v="1476.0"/>
        <n v="20220.0"/>
        <n v="1327.5"/>
        <n v="847.0"/>
        <n v="46333.0"/>
        <n v="76509.90000000001"/>
        <n v="416.70000000000005"/>
        <n v="3329.2000000000007"/>
        <n v="289480.4"/>
        <n v="527421.32"/>
        <n v="100.0"/>
        <n v="1800.0"/>
        <n v="1171.65"/>
        <n v="2475.0"/>
        <n v="7.0"/>
        <n v="744.05"/>
        <n v="3393.75"/>
        <n v="49772.9"/>
        <n v="106208.65"/>
        <n v="138613.23"/>
        <n v="0.73"/>
        <n v="7474.8"/>
        <n v="110.0"/>
        <n v="3110.0"/>
        <n v="4291.77"/>
        <n v="1753.06"/>
        <n v="208820.68"/>
        <n v="493.40999999999997"/>
        <n v="1617961.0"/>
        <n v="45076.64000000001"/>
        <n v="4986.02"/>
        <n v="16270.13"/>
        <n v="1679.35"/>
        <n v="73511.06"/>
        <n v="366348.43"/>
        <n v="53120.57"/>
        <n v="22226.690000000002"/>
        <n v="5198.17"/>
        <n v="28222.199999999997"/>
        <n v="220814.3"/>
        <n v="2930.3100000000004"/>
        <n v="66635.64"/>
        <n v="5771.46"/>
        <n v="133780.36"/>
        <n v="18485.840000000004"/>
        <n v="3852.91"/>
        <n v="673.1800000000001"/>
        <n v="11002.150000000001"/>
        <n v="15443.43"/>
        <n v="11200.17"/>
        <n v="45034.2"/>
        <n v="121924.47"/>
        <n v="51003.030000000006"/>
        <n v="151.13"/>
        <n v="19600.0"/>
        <n v="897.05"/>
        <n v="10708.5"/>
        <n v="250183.49000000002"/>
        <n v="3080.0"/>
        <n v="2416.82"/>
        <n v="1341.8200000000002"/>
        <n v="17190.38"/>
        <n v="1359.62"/>
        <n v="6758.02"/>
        <n v="77088.87"/>
        <n v="33169.04"/>
        <n v="402864.05"/>
        <n v="149995.59"/>
        <n v="2781.0"/>
        <n v="1547.98"/>
        <n v="241.0"/>
        <n v="1041.44"/>
        <n v="2655.0"/>
        <n v="33677.22"/>
        <n v="84672.19"/>
        <n v="7219.91"/>
        <n v="7990.51"/>
        <n v="392891.84"/>
        <n v="2804.38"/>
        <n v="22768.25"/>
        <n v="26436.0"/>
        <n v="398.65"/>
        <n v="18.990000000000002"/>
        <n v="201.98"/>
        <n v="2553.9999999999995"/>
        <n v="3750.0"/>
      </sharedItems>
    </cacheField>
    <cacheField name="12/1/20212" numFmtId="166">
      <sharedItems containsSemiMixedTypes="0" containsString="0" containsNumber="1">
        <n v="131134.5"/>
        <n v="4259.5199999999995"/>
        <n v="3424.98"/>
        <n v="212749.98000000004"/>
        <n v="3470.52"/>
        <n v="2080578.0"/>
        <n v="40649.52"/>
        <n v="29793.84"/>
        <n v="0.0"/>
        <n v="43143.12000000001"/>
        <n v="2284.98"/>
        <n v="545803.5"/>
        <n v="76413.54"/>
        <n v="33839.82"/>
        <n v="7914.179999999999"/>
        <n v="40500.0"/>
        <n v="289775.52"/>
        <n v="19997.659999999996"/>
        <n v="111714.7"/>
        <n v="5380.32"/>
        <n v="15000.0"/>
        <n v="2100.0"/>
        <n v="930.0"/>
        <n v="217.5"/>
        <n v="1687.5"/>
        <n v="136377.18"/>
        <n v="3600.0"/>
        <n v="223.2"/>
        <n v="52.2"/>
        <n v="61895.93999999999"/>
        <n v="4933.25"/>
        <n v="250.0"/>
        <n v="13604.0"/>
        <n v="10934.6"/>
        <n v="10135.2"/>
        <n v="55057.37999999999"/>
        <n v="140944.13999999998"/>
        <n v="3000.0"/>
        <n v="6400.0"/>
        <n v="14375.0"/>
        <n v="5000.04"/>
        <n v="38851.05"/>
        <n v="10000.02"/>
        <n v="241550.93999999997"/>
        <n v="4620.0"/>
        <n v="2300.0"/>
        <n v="3781.0"/>
        <n v="24264.0"/>
        <n v="1593.0"/>
        <n v="1016.4"/>
        <n v="61333.0"/>
        <n v="82549.20000000001"/>
        <n v="500.0400000000001"/>
        <n v="3475.040000000001"/>
        <n v="347376.48000000004"/>
        <n v="527421.32"/>
        <n v="100.0"/>
        <n v="1800.0"/>
        <n v="1405.98"/>
        <n v="2970.0"/>
        <n v="7.0"/>
        <n v="744.05"/>
        <n v="4072.5"/>
        <n v="59727.48"/>
        <n v="127450.37999999999"/>
        <n v="163888.97"/>
        <n v="0.9199999999999999"/>
        <n v="11563.2"/>
        <n v="110.0"/>
        <n v="3405.0"/>
        <n v="4871.77"/>
        <n v="1753.06"/>
        <n v="425269.68"/>
        <n v="493.40999999999997"/>
        <n v="1870861.0"/>
        <n v="54089.23000000001"/>
        <n v="6865.450000000001"/>
        <n v="16270.13"/>
        <n v="1679.35"/>
        <n v="73511.06"/>
        <n v="462460.53"/>
        <n v="67361.31"/>
        <n v="28216.11"/>
        <n v="6598.9"/>
        <n v="32973.57"/>
        <n v="279536.45999999996"/>
        <n v="3147.3800000000006"/>
        <n v="69742.88"/>
        <n v="5771.46"/>
        <n v="163197.65999999997"/>
        <n v="25805.420000000006"/>
        <n v="4087.42"/>
        <n v="1811.3100000000002"/>
        <n v="11425.650000000001"/>
        <n v="18743.43"/>
        <n v="14185.83"/>
        <n v="60490.06"/>
        <n v="148914.59"/>
        <n v="52872.08000000001"/>
        <n v="151.13"/>
        <n v="20600.0"/>
        <n v="1199.9499999999998"/>
        <n v="11782.5"/>
        <n v="597782.1900000001"/>
        <n v="3080.0"/>
        <n v="2505.77"/>
        <n v="5483.8099999999995"/>
        <n v="20647.9"/>
        <n v="2233.5699999999997"/>
        <n v="6758.02"/>
        <n v="91838.03"/>
        <n v="41115.11"/>
        <n v="402864.05"/>
        <n v="152921.44"/>
        <n v="2781.0"/>
        <n v="1625.98"/>
        <n v="241.0"/>
        <n v="3522.18"/>
        <n v="3870.0"/>
        <n v="47876.97"/>
        <n v="106428.31"/>
        <n v="7219.91"/>
        <n v="7990.51"/>
        <n v="392891.84"/>
        <n v="2804.38"/>
        <n v="276.0"/>
        <n v="23193.25"/>
        <n v="27544.8"/>
        <n v="398.65"/>
        <n v="497.85"/>
        <n v="47.5"/>
        <n v="201.98"/>
        <n v="2601.1999999999994"/>
        <n v="3750.0"/>
      </sharedItems>
    </cacheField>
    <cacheField name="1/1/20222" numFmtId="166">
      <sharedItems containsSemiMixedTypes="0" containsString="0" containsNumber="1">
        <n v="152990.25"/>
        <n v="4969.44"/>
        <n v="3995.81"/>
        <n v="248208.31000000006"/>
        <n v="4048.94"/>
        <n v="2427341.0"/>
        <n v="47424.439999999995"/>
        <n v="34759.48"/>
        <n v="0.0"/>
        <n v="50333.640000000014"/>
        <n v="2665.81"/>
        <n v="636770.75"/>
        <n v="89149.12999999999"/>
        <n v="39479.79"/>
        <n v="9233.21"/>
        <n v="47250.0"/>
        <n v="334181.54000000004"/>
        <n v="21815.619999999995"/>
        <n v="111714.7"/>
        <n v="6358.5599999999995"/>
        <n v="17500.0"/>
        <n v="2450.0"/>
        <n v="1085.0"/>
        <n v="253.75"/>
        <n v="1968.75"/>
        <n v="159106.71"/>
        <n v="4200.0"/>
        <n v="260.4"/>
        <n v="60.900000000000006"/>
        <n v="102286.93"/>
        <n v="9866.5"/>
        <n v="250.0"/>
        <n v="13604.0"/>
        <n v="10934.6"/>
        <n v="10135.2"/>
        <n v="64233.609999999986"/>
        <n v="164434.83"/>
        <n v="3000.0"/>
        <n v="6400.0"/>
        <n v="14375.0"/>
        <n v="5833.38"/>
        <n v="43667.590000000004"/>
        <n v="11666.69"/>
        <n v="281809.43"/>
        <n v="4620.0"/>
        <n v="2300.0"/>
        <n v="3781.0"/>
        <n v="28308.0"/>
        <n v="1858.5"/>
        <n v="1185.8"/>
        <n v="61333.0"/>
        <n v="88588.50000000001"/>
        <n v="583.3800000000001"/>
        <n v="3620.880000000001"/>
        <n v="405272.56000000006"/>
        <n v="527421.32"/>
        <n v="100.0"/>
        <n v="1800.0"/>
        <n v="1640.31"/>
        <n v="3465.0"/>
        <n v="7.0"/>
        <n v="1488.1"/>
        <n v="4751.25"/>
        <n v="69682.06"/>
        <n v="148692.11"/>
        <n v="194266.58000000002"/>
        <n v="1.1099999999999999"/>
        <n v="11708.2"/>
        <n v="110.0"/>
        <n v="3405.0"/>
        <n v="5376.77"/>
        <n v="1753.06"/>
        <n v="525471.6799999999"/>
        <n v="493.40999999999997"/>
        <n v="2176756.0"/>
        <n v="63124.94000000001"/>
        <n v="6865.450000000001"/>
        <n v="34954.22"/>
        <n v="5405.3099999999995"/>
        <n v="73511.06"/>
        <n v="533175.9400000001"/>
        <n v="77261.44"/>
        <n v="32493.04"/>
        <n v="7599.139999999999"/>
        <n v="32747.31"/>
        <n v="329653.12999999995"/>
        <n v="3207.3800000000006"/>
        <n v="70019.17"/>
        <n v="6226.34"/>
        <n v="184499.06999999998"/>
        <n v="2100.0"/>
        <n v="27894.790000000005"/>
        <n v="4276.55"/>
        <n v="2043.2700000000002"/>
        <n v="14637.650000000001"/>
        <n v="22043.43"/>
        <n v="15186.83"/>
        <n v="69901.84"/>
        <n v="170674.56"/>
        <n v="55008.38000000001"/>
        <n v="151.13"/>
        <n v="20600.0"/>
        <n v="1199.9499999999998"/>
        <n v="17135.5"/>
        <n v="642257.2000000001"/>
        <n v="3080.0"/>
        <n v="2563.05"/>
        <n v="5483.8099999999995"/>
        <n v="23805.260000000002"/>
        <n v="2466.16"/>
        <n v="1064.4"/>
        <n v="6758.02"/>
        <n v="111824.27"/>
        <n v="41115.11"/>
        <n v="540218.49"/>
        <n v="153204.89"/>
        <n v="2781.0"/>
        <n v="1625.98"/>
        <n v="262.0"/>
        <n v="3417.43"/>
        <n v="3870.0"/>
        <n v="47876.97"/>
        <n v="123602.26"/>
        <n v="7219.91"/>
        <n v="7990.51"/>
        <n v="6104.46"/>
        <n v="392891.84"/>
        <n v="2804.38"/>
        <n v="276.0"/>
        <n v="23193.25"/>
        <n v="27544.8"/>
        <n v="493.25"/>
        <n v="497.85"/>
        <n v="47.5"/>
        <n v="201.98"/>
        <n v="2648.399999999999"/>
        <n v="3750.0"/>
        <n v="4604.83"/>
      </sharedItems>
    </cacheField>
    <cacheField name="2/1/20222" numFmtId="166">
      <sharedItems containsSemiMixedTypes="0" containsString="0" containsNumber="1">
        <n v="174846.0"/>
        <n v="5679.36"/>
        <n v="4566.64"/>
        <n v="283666.6400000001"/>
        <n v="4627.36"/>
        <n v="2774104.0"/>
        <n v="54199.35999999999"/>
        <n v="39725.12"/>
        <n v="0.0"/>
        <n v="70000.0"/>
        <n v="57524.16000000002"/>
        <n v="3046.64"/>
        <n v="727738.0"/>
        <n v="101884.71999999999"/>
        <n v="45119.76"/>
        <n v="10552.24"/>
        <n v="54000.0"/>
        <n v="376255.36000000004"/>
        <n v="23633.579999999994"/>
        <n v="111714.7"/>
        <n v="7336.799999999999"/>
        <n v="20000.0"/>
        <n v="2800.0"/>
        <n v="1240.0"/>
        <n v="290.0"/>
        <n v="2250.0"/>
        <n v="181836.24"/>
        <n v="4800.0"/>
        <n v="297.59999999999997"/>
        <n v="69.60000000000001"/>
        <n v="106627.92"/>
        <n v="9866.5"/>
        <n v="300.0"/>
        <n v="16273.4"/>
        <n v="13121.52"/>
        <n v="12162.240000000002"/>
        <n v="73409.83999999998"/>
        <n v="187925.52"/>
        <n v="3000.0"/>
        <n v="6400.0"/>
        <n v="14375.0"/>
        <n v="6666.72"/>
        <n v="48484.130000000005"/>
        <n v="13333.36"/>
        <n v="322067.92"/>
        <n v="4620.0"/>
        <n v="2300.0"/>
        <n v="4386.0"/>
        <n v="32352.0"/>
        <n v="2124.0"/>
        <n v="1355.2"/>
        <n v="61333.0"/>
        <n v="94627.80000000002"/>
        <n v="666.7200000000001"/>
        <n v="3766.720000000001"/>
        <n v="463168.6400000001"/>
        <n v="527421.32"/>
        <n v="100.0"/>
        <n v="1800.0"/>
        <n v="1874.6399999999999"/>
        <n v="3960.0"/>
        <n v="7.0"/>
        <n v="1488.1"/>
        <n v="5430.0"/>
        <n v="79636.64"/>
        <n v="169933.84"/>
        <n v="223960.52000000002"/>
        <n v="1.2999999999999998"/>
        <n v="13247.550000000001"/>
        <n v="110.0"/>
        <n v="3405.0"/>
        <n v="5556.77"/>
        <n v="1753.06"/>
        <n v="536627.73"/>
        <n v="493.40999999999997"/>
        <n v="2487695.0"/>
        <n v="72108.77"/>
        <n v="6865.450000000001"/>
        <n v="34954.22"/>
        <n v="5828.929999999999"/>
        <n v="73511.06"/>
        <n v="599906.3700000001"/>
        <n v="86603.72"/>
        <n v="36531.93"/>
        <n v="8543.71"/>
        <n v="38767.01"/>
        <n v="370883.12999999995"/>
        <n v="4140.18"/>
        <n v="71680.95"/>
        <n v="6226.34"/>
        <n v="213517.81999999998"/>
        <n v="2100.0"/>
        <n v="47346.72"/>
        <n v="4794.75"/>
        <n v="2043.2700000000002"/>
        <n v="15067.650000000001"/>
        <n v="23693.43"/>
        <n v="17188.83"/>
        <n v="91901.84"/>
        <n v="201474.56"/>
        <n v="57426.680000000015"/>
        <n v="151.13"/>
        <n v="20600.0"/>
        <n v="2783.95"/>
        <n v="18209.5"/>
        <n v="783440.1900000001"/>
        <n v="3080.0"/>
        <n v="2563.05"/>
        <n v="5544.589999999999"/>
        <n v="28079.56"/>
        <n v="2698.75"/>
        <n v="1064.4"/>
        <n v="6758.02"/>
        <n v="130329.59"/>
        <n v="41135.85"/>
        <n v="541289.49"/>
        <n v="153263.37000000002"/>
        <n v="2781.0"/>
        <n v="1625.98"/>
        <n v="262.0"/>
        <n v="3458.22"/>
        <n v="3870.0"/>
        <n v="47876.97"/>
        <n v="142082.26"/>
        <n v="7219.91"/>
        <n v="7990.51"/>
        <n v="6104.46"/>
        <n v="392891.84"/>
        <n v="2804.38"/>
        <n v="276.0"/>
        <n v="31193.25"/>
        <n v="27544.8"/>
        <n v="663.26"/>
        <n v="525.37"/>
        <n v="47.5"/>
        <n v="201.98"/>
        <n v="2695.599999999999"/>
        <n v="3750.0"/>
        <n v="7634.26"/>
      </sharedItems>
    </cacheField>
    <cacheField name="3/1/20222" numFmtId="166">
      <sharedItems containsSemiMixedTypes="0" containsString="0" containsNumber="1">
        <n v="196701.75"/>
        <n v="6389.28"/>
        <n v="5137.47"/>
        <n v="319124.9700000001"/>
        <n v="5205.78"/>
        <n v="3120867.0"/>
        <n v="60974.27999999999"/>
        <n v="44690.76"/>
        <n v="0.0"/>
        <n v="70000.0"/>
        <n v="64714.68000000002"/>
        <n v="3427.47"/>
        <n v="818705.25"/>
        <n v="114620.30999999998"/>
        <n v="50759.73"/>
        <n v="11871.27"/>
        <n v="60750.0"/>
        <n v="418329.18000000005"/>
        <n v="25451.539999999994"/>
        <n v="111714.7"/>
        <n v="8315.039999999999"/>
        <n v="22500.0"/>
        <n v="3150.0"/>
        <n v="1395.0"/>
        <n v="326.25"/>
        <n v="2531.25"/>
        <n v="204565.77"/>
        <n v="5400.0"/>
        <n v="334.79999999999995"/>
        <n v="78.30000000000001"/>
        <n v="110968.91"/>
        <n v="9866.5"/>
        <n v="350.0"/>
        <n v="18942.8"/>
        <n v="15308.44"/>
        <n v="14189.280000000002"/>
        <n v="82586.06999999998"/>
        <n v="211416.21"/>
        <n v="3000.0"/>
        <n v="6400.0"/>
        <n v="14375.0"/>
        <n v="9830.060000000001"/>
        <n v="53300.670000000006"/>
        <n v="15000.03"/>
        <n v="362326.41"/>
        <n v="4620.0"/>
        <n v="2300.0"/>
        <n v="4521.0"/>
        <n v="36396.0"/>
        <n v="2389.5"/>
        <n v="1524.6000000000001"/>
        <n v="61333.0"/>
        <n v="101667.10000000002"/>
        <n v="750.0600000000002"/>
        <n v="3912.5600000000013"/>
        <n v="521064.7200000001"/>
        <n v="527421.32"/>
        <n v="100.0"/>
        <n v="1800.0"/>
        <n v="2108.97"/>
        <n v="4455.0"/>
        <n v="7.0"/>
        <n v="1488.1"/>
        <n v="6108.75"/>
        <n v="89591.22"/>
        <n v="191175.57"/>
        <n v="249821.78000000003"/>
        <n v="1.4699999999999998"/>
        <n v="14801.95"/>
        <n v="110.0"/>
        <n v="3630.0"/>
        <n v="5606.77"/>
        <n v="1753.06"/>
        <n v="536736.9299999999"/>
        <n v="493.40999999999997"/>
        <n v="2995466.0"/>
        <n v="81124.36"/>
        <n v="16554.9"/>
        <n v="74515.26"/>
        <n v="42631.14"/>
        <n v="6480.749999999999"/>
        <n v="73511.06"/>
        <n v="670036.6400000001"/>
        <n v="97652.94"/>
        <n v="40704.78"/>
        <n v="9519.609999999999"/>
        <n v="46705.340000000004"/>
        <n v="412940.6"/>
        <n v="6548.85"/>
        <n v="82306.75"/>
        <n v="8545.34"/>
        <n v="241677.81999999998"/>
        <n v="2100.0"/>
        <n v="72445.72"/>
        <n v="6885.0"/>
        <n v="2382.7400000000002"/>
        <n v="15414.150000000001"/>
        <n v="29798.43"/>
        <n v="20083.5"/>
        <n v="113901.84"/>
        <n v="232274.56"/>
        <n v="58026.680000000015"/>
        <n v="151.13"/>
        <n v="20600.0"/>
        <n v="10483.95"/>
        <n v="19283.5"/>
        <n v="592446.5"/>
        <n v="3080.0"/>
        <n v="4118.950000000001"/>
        <n v="5575.699999999999"/>
        <n v="31143.83"/>
        <n v="3298.96"/>
        <n v="1064.4"/>
        <n v="6758.02"/>
        <n v="162222.86"/>
        <n v="41165.85"/>
        <n v="610799.71"/>
        <n v="156096.92"/>
        <n v="2781.0"/>
        <n v="1625.98"/>
        <n v="262.0"/>
        <n v="3752.49"/>
        <n v="4472.55"/>
        <n v="53903.06"/>
        <n v="160562.26"/>
        <n v="7219.91"/>
        <n v="7990.51"/>
        <n v="6104.46"/>
        <n v="392891.84"/>
        <n v="2804.38"/>
        <n v="276.0"/>
        <n v="31193.25"/>
        <n v="27544.8"/>
        <n v="1941.89"/>
        <n v="525.37"/>
        <n v="47.5"/>
        <n v="201.98"/>
        <n v="2742.799999999999"/>
        <n v="3750.0"/>
        <n v="7634.26"/>
      </sharedItems>
    </cacheField>
    <cacheField name="4/1/20222">
      <sharedItems containsMixedTypes="1" containsNumber="1">
        <n v="218557.5"/>
        <n v="7099.2"/>
        <n v="5708.3"/>
        <n v="354583.3000000001"/>
        <n v="5784.2"/>
        <n v="3467630.0"/>
        <n v="67749.2"/>
        <n v="49656.4"/>
        <n v="0.0"/>
        <n v="70000.0"/>
        <n v="71905.20000000003"/>
        <n v="3808.2999999999997"/>
        <n v="909672.5"/>
        <n v="127355.89999999998"/>
        <n v="56399.700000000004"/>
        <n v="13190.300000000001"/>
        <n v="67500.0"/>
        <n v="460403.00000000006"/>
        <n v="27269.499999999993"/>
        <n v="111714.7"/>
        <n v="9293.279999999999"/>
        <n v="25000.0"/>
        <n v="3500.0"/>
        <n v="1550.0"/>
        <n v="362.5"/>
        <n v="2812.5"/>
        <n v="227295.3"/>
        <n v="6000.0"/>
        <n v="371.99999999999994"/>
        <n v="87.00000000000001"/>
        <n v="115309.90000000001"/>
        <n v="9866.5"/>
        <n v="400.0"/>
        <n v="21612.2"/>
        <n v="17495.36"/>
        <n v="16216.320000000003"/>
        <n v="91762.29999999997"/>
        <n v="234906.9"/>
        <n v="3000.0"/>
        <n v="6400.0"/>
        <n v="14375.0"/>
        <n v="10663.400000000001"/>
        <n v="58117.21000000001"/>
        <n v="16666.7"/>
        <n v="402584.89999999997"/>
        <n v="4620.0"/>
        <n v="2300.0"/>
        <n v="4656.0"/>
        <n v="40440.0"/>
        <n v="2655.0"/>
        <n v="1694.0000000000002"/>
        <n v="61333.0"/>
        <n v="107706.40000000002"/>
        <n v="833.4000000000002"/>
        <n v="4058.4000000000015"/>
        <n v="578960.8"/>
        <n v="527421.32"/>
        <n v="100.0"/>
        <n v="1800.0"/>
        <n v="2343.2999999999997"/>
        <n v="4950.0"/>
        <n v="7.0"/>
        <n v="1488.1"/>
        <n v="6787.5"/>
        <n v="99545.8"/>
        <n v="212417.30000000002"/>
        <s v=""/>
      </sharedItems>
    </cacheField>
    <cacheField name="5/1/20222">
      <sharedItems containsMixedTypes="1" containsNumber="1">
        <n v="240413.25"/>
        <n v="7809.12"/>
        <n v="6279.13"/>
        <n v="390041.6300000001"/>
        <n v="6362.62"/>
        <n v="3814393.0"/>
        <n v="74524.12"/>
        <n v="54622.04"/>
        <n v="0.0"/>
        <n v="70000.0"/>
        <n v="79095.72000000003"/>
        <n v="4189.13"/>
        <n v="1000639.75"/>
        <n v="140091.49"/>
        <n v="62039.670000000006"/>
        <n v="14509.330000000002"/>
        <n v="74250.0"/>
        <n v="502476.82000000007"/>
        <n v="29087.459999999992"/>
        <n v="258882.7"/>
        <n v="9782.4"/>
        <n v="27500.0"/>
        <n v="3850.0"/>
        <n v="1705.0"/>
        <n v="398.75"/>
        <n v="3093.75"/>
        <n v="250024.83"/>
        <n v="6600.0"/>
        <n v="409.19999999999993"/>
        <n v="95.70000000000002"/>
        <n v="119650.89000000001"/>
        <n v="9866.5"/>
        <n v="450.0"/>
        <n v="24281.600000000002"/>
        <n v="19682.28"/>
        <n v="18243.360000000004"/>
        <n v="100938.52999999997"/>
        <n v="258397.59"/>
        <n v="3000.0"/>
        <n v="6400.0"/>
        <n v="14375.0"/>
        <n v="11496.740000000002"/>
        <n v="62933.75000000001"/>
        <n v="18333.370000000003"/>
        <n v="442843.38999999996"/>
        <n v="4620.0"/>
        <n v="9056.16"/>
        <n v="4791.0"/>
        <n v="44484.0"/>
        <n v="2920.5"/>
        <n v="1863.4000000000003"/>
        <n v="61333.0"/>
        <n v="113910.70000000003"/>
        <n v="916.7400000000002"/>
        <n v="4204.240000000002"/>
        <n v="636856.88"/>
        <n v="527421.32"/>
        <n v="100.0"/>
        <n v="1800.0"/>
        <n v="2577.6299999999997"/>
        <n v="5445.0"/>
        <n v="7.0"/>
        <n v="1488.1"/>
        <n v="7466.25"/>
        <n v="109500.38"/>
        <n v="233659.03000000003"/>
        <s v=""/>
      </sharedItems>
    </cacheField>
    <cacheField name="6/1/20222">
      <sharedItems containsMixedTypes="1" containsNumber="1">
        <n v="262269.0"/>
        <n v="8519.039999999999"/>
        <n v="6849.96"/>
        <n v="425499.96000000014"/>
        <n v="6941.04"/>
        <n v="4161156.0"/>
        <n v="81299.04"/>
        <n v="59587.68"/>
        <n v="0.0"/>
        <n v="70000.0"/>
        <n v="86286.24000000003"/>
        <n v="4569.96"/>
        <n v="194040.01"/>
        <n v="20000.0"/>
        <n v="22492.0"/>
        <n v="752523.0"/>
        <n v="1091607.0"/>
        <n v="152827.08"/>
        <n v="67679.64"/>
        <n v="15828.360000000002"/>
        <n v="81000.0"/>
        <n v="544550.64"/>
        <n v="30299.43999999999"/>
        <n v="260899.1"/>
        <n v="9782.4"/>
        <n v="30000.0"/>
        <n v="4200.0"/>
        <n v="1860.0"/>
        <n v="435.0"/>
        <n v="3375.0"/>
        <n v="272754.36"/>
        <n v="7200.0"/>
        <n v="446.3999999999999"/>
        <n v="104.40000000000002"/>
        <n v="123791.88000000002"/>
        <n v="9866.5"/>
        <n v="500.0"/>
        <n v="26951.000000000004"/>
        <n v="21869.199999999997"/>
        <n v="20270.400000000005"/>
        <n v="110114.75999999997"/>
        <n v="281888.27999999997"/>
        <n v="3000.0"/>
        <n v="6400.0"/>
        <n v="14375.0"/>
        <n v="12330.080000000002"/>
        <n v="67750.29000000001"/>
        <n v="20000.04"/>
        <n v="483101.87999999995"/>
        <n v="4620.0"/>
        <n v="13306.16"/>
        <n v="5232.0"/>
        <n v="48528.0"/>
        <n v="3186.0"/>
        <n v="2032.8000000000004"/>
        <n v="62758.0"/>
        <n v="119950.00000000003"/>
        <n v="1000.0800000000003"/>
        <n v="4350.080000000002"/>
        <n v="694752.96"/>
        <n v="602121.32"/>
        <n v="100.0"/>
        <n v="1800.0"/>
        <n v="2811.9599999999996"/>
        <n v="5940.0"/>
        <n v="7.0"/>
        <n v="1488.1"/>
        <n v="8145.0"/>
        <n v="119454.96"/>
        <n v="254900.76000000004"/>
        <s v=""/>
      </sharedItems>
    </cacheField>
    <cacheField name="7/1/20222" numFmtId="0">
      <sharedItems containsBlank="1">
        <m/>
        <s v="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Chart Mix" cacheId="0" dataCaption="" rowGrandTotals="0" compact="0" compactData="0">
  <location ref="A41:N59" firstHeaderRow="0" firstDataRow="3" firstDataCol="0" rowPageCount="1" colPageCount="1"/>
  <pivotFields>
    <pivotField name="Stream" axis="axisRow" compact="0" outline="0" multipleItemSelectionAllowed="1" showAll="0" sortType="descending" defaultSubtotal="0">
      <items>
        <item x="0"/>
        <item x="1"/>
      </items>
    </pivotField>
    <pivotField name="Type" axis="axisPage" compact="0" outline="0" multipleItemSelectionAllowed="1" showAll="0">
      <items>
        <item h="1" x="0"/>
        <item x="1"/>
        <item t="default"/>
      </items>
    </pivotField>
    <pivotField name="Category" axis="axisRow" compact="0" outline="0" multipleItemSelectionAllowed="1" showAll="0" sortType="ascending">
      <items>
        <item x="0"/>
        <item x="3"/>
        <item x="4"/>
        <item x="7"/>
        <item x="1"/>
        <item x="2"/>
        <item x="10"/>
        <item x="9"/>
        <item x="5"/>
        <item x="6"/>
        <item x="8"/>
        <item x="11"/>
        <item t="default"/>
      </items>
    </pivotField>
    <pivotField name="Co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  <pivotField name="7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name="8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name="9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10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name="11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12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name="1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name="2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3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4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name="5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6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name="7/1/2022" compact="0" outline="0" multipleItemSelectionAllowed="1" showAll="0">
      <items>
        <item x="0"/>
        <item x="1"/>
        <item t="default"/>
      </items>
    </pivotField>
    <pivotField name=" " compact="0" outline="0" multipleItemSelectionAllowed="1" showAll="0">
      <items>
        <item x="0"/>
        <item t="default"/>
      </items>
    </pivotField>
    <pivotField name="7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name="8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</pivotField>
    <pivotField name="9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name="10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name="11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t="default"/>
      </items>
    </pivotField>
    <pivotField name="12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name="1/1/2022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t="default"/>
      </items>
    </pivotField>
    <pivotField name="2/1/2022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t="default"/>
      </items>
    </pivotField>
    <pivotField name="3/1/2022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t="default"/>
      </items>
    </pivotField>
    <pivotField name="4/1/202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5/1/202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6/1/202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name="7/1/20222" compact="0" outline="0" multipleItemSelectionAllowed="1" showAll="0">
      <items>
        <item x="0"/>
        <item x="1"/>
        <item t="default"/>
      </items>
    </pivotField>
  </pivotFields>
  <rowFields>
    <field x="0"/>
    <field x="2"/>
  </rowFields>
  <colFields>
    <field x="-2"/>
  </colFields>
  <pageFields>
    <pageField fld="1"/>
  </pageFields>
  <dataFields>
    <dataField name="Jul" fld="18" baseField="0"/>
    <dataField name="Aug" fld="19" baseField="0"/>
    <dataField name="Sep" fld="20" baseField="0"/>
    <dataField name="Oct" fld="21" baseField="0"/>
    <dataField name="Nov" fld="22" baseField="0"/>
    <dataField name="Dec" fld="23" baseField="0"/>
    <dataField name="Jan" fld="24" baseField="0"/>
    <dataField name="Feb" fld="25" baseField="0"/>
    <dataField name="Mar" fld="26" baseField="0"/>
    <dataField name="Apr" fld="27" baseField="0"/>
    <dataField name="May" fld="28" baseField="0"/>
    <dataField name="Jun" fld="29" baseField="0"/>
  </dataFields>
</pivotTableDefinition>
</file>

<file path=xl/pivotTables/pivotTable2.xml><?xml version="1.0" encoding="utf-8"?>
<pivotTableDefinition xmlns="http://schemas.openxmlformats.org/spreadsheetml/2006/main" name="Chart Mix 2" cacheId="1" dataCaption="" rowGrandTotals="0" compact="0" compactData="0">
  <location ref="A116:N122" firstHeaderRow="0" firstDataRow="3" firstDataCol="0"/>
  <pivotFields>
    <pivotField name="Stream" axis="axisRow" compact="0" outline="0" multipleItemSelectionAllowed="1" showAll="0" sortType="descending">
      <items>
        <item x="0"/>
        <item x="1"/>
        <item t="default"/>
      </items>
    </pivotField>
    <pivotField name="Type" axis="axisRow" compact="0" outline="0" multipleItemSelectionAllowed="1" showAll="0" sortType="ascending">
      <items>
        <item x="1"/>
        <item x="0"/>
        <item t="default"/>
      </items>
    </pivotField>
    <pivotField name="Categor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Co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7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name="8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name="9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10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name="11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12/1/202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name="1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name="2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  <pivotField name="3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4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  <pivotField name="5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6/1/20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name="7/1/2022" compact="0" outline="0" multipleItemSelectionAllowed="1" showAll="0">
      <items>
        <item x="0"/>
        <item x="1"/>
        <item t="default"/>
      </items>
    </pivotField>
    <pivotField name=" " compact="0" outline="0" multipleItemSelectionAllowed="1" showAll="0">
      <items>
        <item x="0"/>
        <item t="default"/>
      </items>
    </pivotField>
    <pivotField name="7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name="8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</pivotField>
    <pivotField name="9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name="10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name="11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t="default"/>
      </items>
    </pivotField>
    <pivotField name="12/1/2021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name="1/1/2022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t="default"/>
      </items>
    </pivotField>
    <pivotField name="2/1/2022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t="default"/>
      </items>
    </pivotField>
    <pivotField name="3/1/20222" dataField="1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name="4/1/202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5/1/202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6/1/202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name="7/1/20222" compact="0" outline="0" multipleItemSelectionAllowed="1" showAll="0">
      <items>
        <item x="0"/>
        <item x="1"/>
        <item t="default"/>
      </items>
    </pivotField>
  </pivotFields>
  <rowFields>
    <field x="0"/>
    <field x="1"/>
  </rowFields>
  <colFields>
    <field x="-2"/>
  </colFields>
  <dataFields>
    <dataField name="Jul" fld="18" baseField="0"/>
    <dataField name="Aug" fld="19" baseField="0"/>
    <dataField name="Sep" fld="20" baseField="0"/>
    <dataField name="Oct" fld="21" baseField="0"/>
    <dataField name="Nov" fld="22" baseField="0"/>
    <dataField name="Dec" fld="23" baseField="0"/>
    <dataField name="Jan" fld="24" baseField="0"/>
    <dataField name="Feb" fld="25" baseField="0"/>
    <dataField name="Mar" fld="26" baseField="0"/>
    <dataField name="Apr" fld="27" baseField="0"/>
    <dataField name="May" fld="28" baseField="0"/>
    <dataField name="Jun" fld="29" baseField="0"/>
  </dataFields>
</pivotTableDefinition>
</file>

<file path=xl/pivotTables/pivotTable3.xml><?xml version="1.0" encoding="utf-8"?>
<pivotTableDefinition xmlns="http://schemas.openxmlformats.org/spreadsheetml/2006/main" name="Chart Mix 3" cacheId="0" dataCaption="" rowGrandTotals="0" compact="0" compactData="0">
  <location ref="A148:N154" firstHeaderRow="0" firstDataRow="3" firstDataCol="0"/>
  <pivotFields>
    <pivotField name="Stream" axis="axisRow" compact="0" outline="0" multipleItemSelectionAllowed="1" showAll="0" sortType="descending">
      <items>
        <item x="0"/>
        <item x="1"/>
        <item t="default"/>
      </items>
    </pivotField>
    <pivotField name="Type" axis="axisRow" compact="0" outline="0" multipleItemSelectionAllowed="1" showAll="0" sortType="ascending">
      <items>
        <item x="1"/>
        <item x="0"/>
        <item t="default"/>
      </items>
    </pivotField>
    <pivotField name="Categor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Co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  <pivotField name="7/1/202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name="8/1/202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name="9/1/202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10/1/202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name="11/1/202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12/1/2021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name="1/1/20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name="2/1/20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3/1/20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4/1/20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name="5/1/20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6/1/2022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name="7/1/2022" compact="0" outline="0" multipleItemSelectionAllowed="1" showAll="0">
      <items>
        <item x="0"/>
        <item x="1"/>
        <item t="default"/>
      </items>
    </pivotField>
    <pivotField name=" " compact="0" outline="0" multipleItemSelectionAllowed="1" showAll="0">
      <items>
        <item x="0"/>
        <item t="default"/>
      </items>
    </pivotField>
    <pivotField name="7/1/2021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name="8/1/2021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</pivotField>
    <pivotField name="9/1/2021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name="10/1/2021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name="11/1/2021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t="default"/>
      </items>
    </pivotField>
    <pivotField name="12/1/2021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t="default"/>
      </items>
    </pivotField>
    <pivotField name="1/1/2022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t="default"/>
      </items>
    </pivotField>
    <pivotField name="2/1/2022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t="default"/>
      </items>
    </pivotField>
    <pivotField name="3/1/20222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t="default"/>
      </items>
    </pivotField>
    <pivotField name="4/1/202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5/1/202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6/1/2022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name="7/1/20222" compact="0" outline="0" multipleItemSelectionAllowed="1" showAll="0">
      <items>
        <item x="0"/>
        <item x="1"/>
        <item t="default"/>
      </items>
    </pivotField>
  </pivotFields>
  <rowFields>
    <field x="0"/>
    <field x="1"/>
  </rowFields>
  <colFields>
    <field x="-2"/>
  </colFields>
  <dataFields>
    <dataField name="Jul" fld="4" baseField="0"/>
    <dataField name="Aug" fld="5" baseField="0"/>
    <dataField name="Sep" fld="6" baseField="0"/>
    <dataField name="Oct" fld="7" baseField="0"/>
    <dataField name="Nov" fld="8" baseField="0"/>
    <dataField name="Dec" fld="9" baseField="0"/>
    <dataField name="Jan" fld="10" baseField="0"/>
    <dataField name="Feb" fld="11" baseField="0"/>
    <dataField name="Mar" fld="12" baseField="0"/>
    <dataField name="Apr" fld="13" baseField="0"/>
    <dataField name="May" fld="14" baseField="0"/>
    <dataField name="Jun" fld="15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bill.com/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bill.com/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expensify.com/report?reportID=R00d21HKlhov" TargetMode="External"/><Relationship Id="rId190" Type="http://schemas.openxmlformats.org/officeDocument/2006/relationships/hyperlink" Target="https://www.expensify.com/report?reportID=R00dvA6xA4yA" TargetMode="External"/><Relationship Id="rId42" Type="http://schemas.openxmlformats.org/officeDocument/2006/relationships/hyperlink" Target="https://www.expensify.com/report?reportID=R00d21HKlhov" TargetMode="External"/><Relationship Id="rId41" Type="http://schemas.openxmlformats.org/officeDocument/2006/relationships/hyperlink" Target="https://www.expensify.com/report?reportID=R00d21HKlhov" TargetMode="External"/><Relationship Id="rId44" Type="http://schemas.openxmlformats.org/officeDocument/2006/relationships/hyperlink" Target="https://www.expensify.com/report?reportID=R00d21HKlhov" TargetMode="External"/><Relationship Id="rId194" Type="http://schemas.openxmlformats.org/officeDocument/2006/relationships/hyperlink" Target="http://amazon.com" TargetMode="External"/><Relationship Id="rId43" Type="http://schemas.openxmlformats.org/officeDocument/2006/relationships/hyperlink" Target="https://www.expensify.com/report?reportID=R00d21HKlhov" TargetMode="External"/><Relationship Id="rId193" Type="http://schemas.openxmlformats.org/officeDocument/2006/relationships/hyperlink" Target="https://www.expensify.com/report?reportID=R009ZWhlepbC" TargetMode="External"/><Relationship Id="rId46" Type="http://schemas.openxmlformats.org/officeDocument/2006/relationships/hyperlink" Target="https://www.expensify.com/report?reportID=R00d21HKlhov" TargetMode="External"/><Relationship Id="rId192" Type="http://schemas.openxmlformats.org/officeDocument/2006/relationships/hyperlink" Target="https://www.expensify.com/report?reportID=R009ZWhlepbC" TargetMode="External"/><Relationship Id="rId45" Type="http://schemas.openxmlformats.org/officeDocument/2006/relationships/hyperlink" Target="http://apple.com/bill" TargetMode="External"/><Relationship Id="rId191" Type="http://schemas.openxmlformats.org/officeDocument/2006/relationships/hyperlink" Target="https://www.expensify.com/report?reportID=R00dvA6xA4yA" TargetMode="External"/><Relationship Id="rId48" Type="http://schemas.openxmlformats.org/officeDocument/2006/relationships/hyperlink" Target="https://www.expensify.com/report?reportID=R00d21HKlhov" TargetMode="External"/><Relationship Id="rId187" Type="http://schemas.openxmlformats.org/officeDocument/2006/relationships/hyperlink" Target="https://www.expensify.com/report?reportID=R00dvA6xA4yA" TargetMode="External"/><Relationship Id="rId47" Type="http://schemas.openxmlformats.org/officeDocument/2006/relationships/hyperlink" Target="https://www.expensify.com/report?reportID=R00d21HKlhov" TargetMode="External"/><Relationship Id="rId186" Type="http://schemas.openxmlformats.org/officeDocument/2006/relationships/hyperlink" Target="https://www.expensify.com/report?reportID=R009ZWhlepbC" TargetMode="External"/><Relationship Id="rId185" Type="http://schemas.openxmlformats.org/officeDocument/2006/relationships/hyperlink" Target="https://www.expensify.com/report?reportID=R009ZWhlepbC" TargetMode="External"/><Relationship Id="rId49" Type="http://schemas.openxmlformats.org/officeDocument/2006/relationships/hyperlink" Target="https://www.expensify.com/report?reportID=R00d21HKlhov" TargetMode="External"/><Relationship Id="rId184" Type="http://schemas.openxmlformats.org/officeDocument/2006/relationships/hyperlink" Target="https://www.expensify.com/report?reportID=R00Ti0NCtDBM" TargetMode="External"/><Relationship Id="rId189" Type="http://schemas.openxmlformats.org/officeDocument/2006/relationships/hyperlink" Target="https://www.expensify.com/report?reportID=R009ZWhlepbC" TargetMode="External"/><Relationship Id="rId188" Type="http://schemas.openxmlformats.org/officeDocument/2006/relationships/hyperlink" Target="https://www.expensify.com/report?reportID=R009ZWhlepbC" TargetMode="External"/><Relationship Id="rId31" Type="http://schemas.openxmlformats.org/officeDocument/2006/relationships/hyperlink" Target="https://www.expensify.com/report?reportID=R00d21HKlhov" TargetMode="External"/><Relationship Id="rId30" Type="http://schemas.openxmlformats.org/officeDocument/2006/relationships/hyperlink" Target="https://www.expensify.com/report?reportID=R00d21HKlhov" TargetMode="External"/><Relationship Id="rId33" Type="http://schemas.openxmlformats.org/officeDocument/2006/relationships/hyperlink" Target="https://www.expensify.com/report?reportID=R00d21HKlhov" TargetMode="External"/><Relationship Id="rId183" Type="http://schemas.openxmlformats.org/officeDocument/2006/relationships/hyperlink" Target="http://target.com" TargetMode="External"/><Relationship Id="rId32" Type="http://schemas.openxmlformats.org/officeDocument/2006/relationships/hyperlink" Target="https://www.expensify.com/report?reportID=R00d21HKlhov" TargetMode="External"/><Relationship Id="rId182" Type="http://schemas.openxmlformats.org/officeDocument/2006/relationships/hyperlink" Target="https://www.expensify.com/report?reportID=R00Ti0NCtDBM" TargetMode="External"/><Relationship Id="rId35" Type="http://schemas.openxmlformats.org/officeDocument/2006/relationships/hyperlink" Target="https://www.expensify.com/report?reportID=R00d21HKlhov" TargetMode="External"/><Relationship Id="rId181" Type="http://schemas.openxmlformats.org/officeDocument/2006/relationships/hyperlink" Target="https://www.expensify.com/report?reportID=R00Ti0NCtDBM" TargetMode="External"/><Relationship Id="rId34" Type="http://schemas.openxmlformats.org/officeDocument/2006/relationships/hyperlink" Target="https://www.expensify.com/report?reportID=R00d21HKlhov" TargetMode="External"/><Relationship Id="rId180" Type="http://schemas.openxmlformats.org/officeDocument/2006/relationships/hyperlink" Target="https://www.expensify.com/report?reportID=R00Ti0NCtDBM" TargetMode="External"/><Relationship Id="rId37" Type="http://schemas.openxmlformats.org/officeDocument/2006/relationships/hyperlink" Target="https://www.expensify.com/report?reportID=R00d21HKlhov" TargetMode="External"/><Relationship Id="rId176" Type="http://schemas.openxmlformats.org/officeDocument/2006/relationships/hyperlink" Target="https://www.expensify.com/report?reportID=R00Ti0NCtDBM" TargetMode="External"/><Relationship Id="rId36" Type="http://schemas.openxmlformats.org/officeDocument/2006/relationships/hyperlink" Target="https://www.expensify.com/report?reportID=R00d21HKlhov" TargetMode="External"/><Relationship Id="rId175" Type="http://schemas.openxmlformats.org/officeDocument/2006/relationships/hyperlink" Target="https://www.expensify.com/report?reportID=R00Ti0NCtDBM" TargetMode="External"/><Relationship Id="rId39" Type="http://schemas.openxmlformats.org/officeDocument/2006/relationships/hyperlink" Target="https://www.expensify.com/report?reportID=R00d21HKlhov" TargetMode="External"/><Relationship Id="rId174" Type="http://schemas.openxmlformats.org/officeDocument/2006/relationships/hyperlink" Target="https://www.expensify.com/report?reportID=R00Ti0NCtDBM" TargetMode="External"/><Relationship Id="rId38" Type="http://schemas.openxmlformats.org/officeDocument/2006/relationships/hyperlink" Target="https://www.expensify.com/report?reportID=R00d21HKlhov" TargetMode="External"/><Relationship Id="rId173" Type="http://schemas.openxmlformats.org/officeDocument/2006/relationships/hyperlink" Target="https://www.expensify.com/report?reportID=R00Ti0NCtDBM" TargetMode="External"/><Relationship Id="rId179" Type="http://schemas.openxmlformats.org/officeDocument/2006/relationships/hyperlink" Target="https://www.expensify.com/report?reportID=R00Ti0NCtDBM" TargetMode="External"/><Relationship Id="rId178" Type="http://schemas.openxmlformats.org/officeDocument/2006/relationships/hyperlink" Target="https://www.expensify.com/report?reportID=R00Ti0NCtDBM" TargetMode="External"/><Relationship Id="rId177" Type="http://schemas.openxmlformats.org/officeDocument/2006/relationships/hyperlink" Target="https://www.expensify.com/report?reportID=R00Ti0NCtDBM" TargetMode="External"/><Relationship Id="rId20" Type="http://schemas.openxmlformats.org/officeDocument/2006/relationships/hyperlink" Target="https://www.expensify.com/report?reportID=R00d21HKlhov" TargetMode="External"/><Relationship Id="rId22" Type="http://schemas.openxmlformats.org/officeDocument/2006/relationships/hyperlink" Target="https://www.expensify.com/report?reportID=R00d21HKlhov" TargetMode="External"/><Relationship Id="rId21" Type="http://schemas.openxmlformats.org/officeDocument/2006/relationships/hyperlink" Target="https://www.expensify.com/report?reportID=R00d21HKlhov" TargetMode="External"/><Relationship Id="rId24" Type="http://schemas.openxmlformats.org/officeDocument/2006/relationships/hyperlink" Target="https://www.expensify.com/report?reportID=R00d21HKlhov" TargetMode="External"/><Relationship Id="rId23" Type="http://schemas.openxmlformats.org/officeDocument/2006/relationships/hyperlink" Target="https://www.expensify.com/report?reportID=R00d21HKlhov" TargetMode="External"/><Relationship Id="rId26" Type="http://schemas.openxmlformats.org/officeDocument/2006/relationships/hyperlink" Target="https://www.expensify.com/report?reportID=R00d21HKlhov" TargetMode="External"/><Relationship Id="rId25" Type="http://schemas.openxmlformats.org/officeDocument/2006/relationships/hyperlink" Target="https://www.expensify.com/report?reportID=R00d21HKlhov" TargetMode="External"/><Relationship Id="rId28" Type="http://schemas.openxmlformats.org/officeDocument/2006/relationships/hyperlink" Target="https://www.expensify.com/report?reportID=R00d21HKlhov" TargetMode="External"/><Relationship Id="rId27" Type="http://schemas.openxmlformats.org/officeDocument/2006/relationships/hyperlink" Target="https://www.expensify.com/report?reportID=R00d21HKlhov" TargetMode="External"/><Relationship Id="rId29" Type="http://schemas.openxmlformats.org/officeDocument/2006/relationships/hyperlink" Target="https://www.expensify.com/report?reportID=R00d21HKlhov" TargetMode="External"/><Relationship Id="rId11" Type="http://schemas.openxmlformats.org/officeDocument/2006/relationships/hyperlink" Target="https://www.expensify.com/report?reportID=R00d21HKlhov" TargetMode="External"/><Relationship Id="rId10" Type="http://schemas.openxmlformats.org/officeDocument/2006/relationships/hyperlink" Target="https://www.expensify.com/report?reportID=R00d21HKlhov" TargetMode="External"/><Relationship Id="rId13" Type="http://schemas.openxmlformats.org/officeDocument/2006/relationships/hyperlink" Target="https://www.expensify.com/report?reportID=R00d21HKlhov" TargetMode="External"/><Relationship Id="rId12" Type="http://schemas.openxmlformats.org/officeDocument/2006/relationships/hyperlink" Target="https://www.expensify.com/report?reportID=R00d21HKlhov" TargetMode="External"/><Relationship Id="rId15" Type="http://schemas.openxmlformats.org/officeDocument/2006/relationships/hyperlink" Target="https://www.expensify.com/report?reportID=R00d21HKlhov" TargetMode="External"/><Relationship Id="rId198" Type="http://schemas.openxmlformats.org/officeDocument/2006/relationships/hyperlink" Target="http://amazon.com" TargetMode="External"/><Relationship Id="rId14" Type="http://schemas.openxmlformats.org/officeDocument/2006/relationships/hyperlink" Target="https://www.expensify.com/report?reportID=R00d21HKlhov" TargetMode="External"/><Relationship Id="rId197" Type="http://schemas.openxmlformats.org/officeDocument/2006/relationships/hyperlink" Target="https://www.expensify.com/report?reportID=R009ZWhlepbC" TargetMode="External"/><Relationship Id="rId17" Type="http://schemas.openxmlformats.org/officeDocument/2006/relationships/hyperlink" Target="https://www.expensify.com/report?reportID=R00d21HKlhov" TargetMode="External"/><Relationship Id="rId196" Type="http://schemas.openxmlformats.org/officeDocument/2006/relationships/hyperlink" Target="https://www.expensify.com/report?reportID=R009ZWhlepbC" TargetMode="External"/><Relationship Id="rId16" Type="http://schemas.openxmlformats.org/officeDocument/2006/relationships/hyperlink" Target="https://www.expensify.com/report?reportID=R00d21HKlhov" TargetMode="External"/><Relationship Id="rId195" Type="http://schemas.openxmlformats.org/officeDocument/2006/relationships/hyperlink" Target="https://www.expensify.com/report?reportID=R009ZWhlepbC" TargetMode="External"/><Relationship Id="rId19" Type="http://schemas.openxmlformats.org/officeDocument/2006/relationships/hyperlink" Target="https://www.expensify.com/report?reportID=R00d21HKlhov" TargetMode="External"/><Relationship Id="rId18" Type="http://schemas.openxmlformats.org/officeDocument/2006/relationships/hyperlink" Target="https://www.expensify.com/report?reportID=R00d21HKlhov" TargetMode="External"/><Relationship Id="rId199" Type="http://schemas.openxmlformats.org/officeDocument/2006/relationships/hyperlink" Target="https://www.expensify.com/report?reportID=R009ZWhlepbC" TargetMode="External"/><Relationship Id="rId84" Type="http://schemas.openxmlformats.org/officeDocument/2006/relationships/hyperlink" Target="https://www.expensify.com/report?reportID=R00d21HKlhov" TargetMode="External"/><Relationship Id="rId83" Type="http://schemas.openxmlformats.org/officeDocument/2006/relationships/hyperlink" Target="https://www.expensify.com/report?reportID=R00d21HKlhov" TargetMode="External"/><Relationship Id="rId86" Type="http://schemas.openxmlformats.org/officeDocument/2006/relationships/hyperlink" Target="https://www.expensify.com/report?reportID=R00d21HKlhov" TargetMode="External"/><Relationship Id="rId85" Type="http://schemas.openxmlformats.org/officeDocument/2006/relationships/hyperlink" Target="https://www.expensify.com/report?reportID=R00d21HKlhov" TargetMode="External"/><Relationship Id="rId88" Type="http://schemas.openxmlformats.org/officeDocument/2006/relationships/hyperlink" Target="http://apple.com/bill" TargetMode="External"/><Relationship Id="rId150" Type="http://schemas.openxmlformats.org/officeDocument/2006/relationships/hyperlink" Target="http://amazon.com" TargetMode="External"/><Relationship Id="rId87" Type="http://schemas.openxmlformats.org/officeDocument/2006/relationships/hyperlink" Target="https://www.expensify.com/report?reportID=R00d21HKlhov" TargetMode="External"/><Relationship Id="rId89" Type="http://schemas.openxmlformats.org/officeDocument/2006/relationships/hyperlink" Target="https://www.expensify.com/report?reportID=R00d21HKlhov" TargetMode="External"/><Relationship Id="rId80" Type="http://schemas.openxmlformats.org/officeDocument/2006/relationships/hyperlink" Target="https://www.expensify.com/report?reportID=R00d21HKlhov" TargetMode="External"/><Relationship Id="rId82" Type="http://schemas.openxmlformats.org/officeDocument/2006/relationships/hyperlink" Target="https://www.expensify.com/report?reportID=R00d21HKlhov" TargetMode="External"/><Relationship Id="rId81" Type="http://schemas.openxmlformats.org/officeDocument/2006/relationships/hyperlink" Target="https://www.expensify.com/report?reportID=R00d21HKlhov" TargetMode="External"/><Relationship Id="rId1" Type="http://schemas.openxmlformats.org/officeDocument/2006/relationships/hyperlink" Target="https://www.expensify.com/report?reportID=R00XKEvbq2QZ" TargetMode="External"/><Relationship Id="rId2" Type="http://schemas.openxmlformats.org/officeDocument/2006/relationships/hyperlink" Target="https://www.expensify.com/report?reportID=R00XKEvbq2QZ" TargetMode="External"/><Relationship Id="rId3" Type="http://schemas.openxmlformats.org/officeDocument/2006/relationships/hyperlink" Target="https://www.expensify.com/report?reportID=R00XKEvbq2QZ" TargetMode="External"/><Relationship Id="rId149" Type="http://schemas.openxmlformats.org/officeDocument/2006/relationships/hyperlink" Target="https://www.expensify.com/report?reportID=R00SCi6uvQ2C" TargetMode="External"/><Relationship Id="rId4" Type="http://schemas.openxmlformats.org/officeDocument/2006/relationships/hyperlink" Target="https://www.expensify.com/report?reportID=R00XKEvbq2QZ" TargetMode="External"/><Relationship Id="rId148" Type="http://schemas.openxmlformats.org/officeDocument/2006/relationships/hyperlink" Target="https://www.expensify.com/report?reportID=R009o8g3OWxn" TargetMode="External"/><Relationship Id="rId9" Type="http://schemas.openxmlformats.org/officeDocument/2006/relationships/hyperlink" Target="https://www.expensify.com/report?reportID=R00d21HKlhov" TargetMode="External"/><Relationship Id="rId143" Type="http://schemas.openxmlformats.org/officeDocument/2006/relationships/hyperlink" Target="http://nebulastl.com" TargetMode="External"/><Relationship Id="rId142" Type="http://schemas.openxmlformats.org/officeDocument/2006/relationships/hyperlink" Target="https://www.expensify.com/report?reportID=R003b7TdaXTo" TargetMode="External"/><Relationship Id="rId141" Type="http://schemas.openxmlformats.org/officeDocument/2006/relationships/hyperlink" Target="https://www.expensify.com/report?reportID=R003b7TdaXTo" TargetMode="External"/><Relationship Id="rId140" Type="http://schemas.openxmlformats.org/officeDocument/2006/relationships/hyperlink" Target="https://www.expensify.com/report?reportID=R003b7TdaXTo" TargetMode="External"/><Relationship Id="rId5" Type="http://schemas.openxmlformats.org/officeDocument/2006/relationships/hyperlink" Target="https://www.expensify.com/report?reportID=R00XKEvbq2QZ" TargetMode="External"/><Relationship Id="rId147" Type="http://schemas.openxmlformats.org/officeDocument/2006/relationships/hyperlink" Target="https://www.expensify.com/report?reportID=R009o8g3OWxn" TargetMode="External"/><Relationship Id="rId6" Type="http://schemas.openxmlformats.org/officeDocument/2006/relationships/hyperlink" Target="https://www.expensify.com/report?reportID=R00XKEvbq2QZ" TargetMode="External"/><Relationship Id="rId146" Type="http://schemas.openxmlformats.org/officeDocument/2006/relationships/hyperlink" Target="https://www.expensify.com/report?reportID=R009o8g3OWxn" TargetMode="External"/><Relationship Id="rId7" Type="http://schemas.openxmlformats.org/officeDocument/2006/relationships/hyperlink" Target="https://www.expensify.com/report?reportID=R00XKEvbq2QZ" TargetMode="External"/><Relationship Id="rId145" Type="http://schemas.openxmlformats.org/officeDocument/2006/relationships/hyperlink" Target="https://www.expensify.com/report?reportID=R003b7TdaXTo" TargetMode="External"/><Relationship Id="rId8" Type="http://schemas.openxmlformats.org/officeDocument/2006/relationships/hyperlink" Target="https://www.expensify.com/report?reportID=R00XKEvbq2QZ" TargetMode="External"/><Relationship Id="rId144" Type="http://schemas.openxmlformats.org/officeDocument/2006/relationships/hyperlink" Target="https://www.expensify.com/report?reportID=R003b7TdaXTo" TargetMode="External"/><Relationship Id="rId73" Type="http://schemas.openxmlformats.org/officeDocument/2006/relationships/hyperlink" Target="https://www.expensify.com/report?reportID=R00d21HKlhov" TargetMode="External"/><Relationship Id="rId72" Type="http://schemas.openxmlformats.org/officeDocument/2006/relationships/hyperlink" Target="https://www.expensify.com/report?reportID=R00d21HKlhov" TargetMode="External"/><Relationship Id="rId75" Type="http://schemas.openxmlformats.org/officeDocument/2006/relationships/hyperlink" Target="https://www.expensify.com/report?reportID=R00d21HKlhov" TargetMode="External"/><Relationship Id="rId74" Type="http://schemas.openxmlformats.org/officeDocument/2006/relationships/hyperlink" Target="https://www.expensify.com/report?reportID=R00d21HKlhov" TargetMode="External"/><Relationship Id="rId77" Type="http://schemas.openxmlformats.org/officeDocument/2006/relationships/hyperlink" Target="https://www.expensify.com/report?reportID=R00d21HKlhov" TargetMode="External"/><Relationship Id="rId76" Type="http://schemas.openxmlformats.org/officeDocument/2006/relationships/hyperlink" Target="https://www.expensify.com/report?reportID=R00d21HKlhov" TargetMode="External"/><Relationship Id="rId79" Type="http://schemas.openxmlformats.org/officeDocument/2006/relationships/hyperlink" Target="http://apple.com/bill" TargetMode="External"/><Relationship Id="rId78" Type="http://schemas.openxmlformats.org/officeDocument/2006/relationships/hyperlink" Target="https://www.expensify.com/report?reportID=R00d21HKlhov" TargetMode="External"/><Relationship Id="rId71" Type="http://schemas.openxmlformats.org/officeDocument/2006/relationships/hyperlink" Target="https://www.expensify.com/report?reportID=R00d21HKlhov" TargetMode="External"/><Relationship Id="rId70" Type="http://schemas.openxmlformats.org/officeDocument/2006/relationships/hyperlink" Target="https://www.expensify.com/report?reportID=R00d21HKlhov" TargetMode="External"/><Relationship Id="rId139" Type="http://schemas.openxmlformats.org/officeDocument/2006/relationships/hyperlink" Target="https://www.expensify.com/report?reportID=R003b7TdaXTo" TargetMode="External"/><Relationship Id="rId138" Type="http://schemas.openxmlformats.org/officeDocument/2006/relationships/hyperlink" Target="http://nebulastl.com" TargetMode="External"/><Relationship Id="rId137" Type="http://schemas.openxmlformats.org/officeDocument/2006/relationships/hyperlink" Target="https://www.expensify.com/report?reportID=R003b7TdaXTo" TargetMode="External"/><Relationship Id="rId132" Type="http://schemas.openxmlformats.org/officeDocument/2006/relationships/hyperlink" Target="https://www.expensify.com/report?reportID=R003b7TdaXTo" TargetMode="External"/><Relationship Id="rId131" Type="http://schemas.openxmlformats.org/officeDocument/2006/relationships/hyperlink" Target="https://www.expensify.com/report?reportID=R003b7TdaXTo" TargetMode="External"/><Relationship Id="rId130" Type="http://schemas.openxmlformats.org/officeDocument/2006/relationships/hyperlink" Target="https://www.expensify.com/report?reportID=R003b7TdaXTo" TargetMode="External"/><Relationship Id="rId136" Type="http://schemas.openxmlformats.org/officeDocument/2006/relationships/hyperlink" Target="https://www.expensify.com/report?reportID=R003b7TdaXTo" TargetMode="External"/><Relationship Id="rId135" Type="http://schemas.openxmlformats.org/officeDocument/2006/relationships/hyperlink" Target="http://nebulastl.com" TargetMode="External"/><Relationship Id="rId134" Type="http://schemas.openxmlformats.org/officeDocument/2006/relationships/hyperlink" Target="https://www.expensify.com/report?reportID=R003b7TdaXTo" TargetMode="External"/><Relationship Id="rId133" Type="http://schemas.openxmlformats.org/officeDocument/2006/relationships/hyperlink" Target="https://www.expensify.com/report?reportID=R003b7TdaXTo" TargetMode="External"/><Relationship Id="rId62" Type="http://schemas.openxmlformats.org/officeDocument/2006/relationships/hyperlink" Target="https://www.expensify.com/report?reportID=R00d21HKlhov" TargetMode="External"/><Relationship Id="rId61" Type="http://schemas.openxmlformats.org/officeDocument/2006/relationships/hyperlink" Target="https://www.expensify.com/report?reportID=R00d21HKlhov" TargetMode="External"/><Relationship Id="rId64" Type="http://schemas.openxmlformats.org/officeDocument/2006/relationships/hyperlink" Target="https://www.expensify.com/report?reportID=R00d21HKlhov" TargetMode="External"/><Relationship Id="rId63" Type="http://schemas.openxmlformats.org/officeDocument/2006/relationships/hyperlink" Target="https://www.expensify.com/report?reportID=R00d21HKlhov" TargetMode="External"/><Relationship Id="rId66" Type="http://schemas.openxmlformats.org/officeDocument/2006/relationships/hyperlink" Target="https://www.expensify.com/report?reportID=R00d21HKlhov" TargetMode="External"/><Relationship Id="rId172" Type="http://schemas.openxmlformats.org/officeDocument/2006/relationships/hyperlink" Target="https://www.expensify.com/report?reportID=R00Ti0NCtDBM" TargetMode="External"/><Relationship Id="rId65" Type="http://schemas.openxmlformats.org/officeDocument/2006/relationships/hyperlink" Target="http://apple.com/bill" TargetMode="External"/><Relationship Id="rId171" Type="http://schemas.openxmlformats.org/officeDocument/2006/relationships/hyperlink" Target="https://www.expensify.com/report?reportID=R00Ti0NCtDBM" TargetMode="External"/><Relationship Id="rId68" Type="http://schemas.openxmlformats.org/officeDocument/2006/relationships/hyperlink" Target="https://www.expensify.com/report?reportID=R00d21HKlhov" TargetMode="External"/><Relationship Id="rId170" Type="http://schemas.openxmlformats.org/officeDocument/2006/relationships/hyperlink" Target="http://teacherspayteachers.com" TargetMode="External"/><Relationship Id="rId67" Type="http://schemas.openxmlformats.org/officeDocument/2006/relationships/hyperlink" Target="http://apple.com/bill" TargetMode="External"/><Relationship Id="rId60" Type="http://schemas.openxmlformats.org/officeDocument/2006/relationships/hyperlink" Target="https://www.expensify.com/report?reportID=R00d21HKlhov" TargetMode="External"/><Relationship Id="rId165" Type="http://schemas.openxmlformats.org/officeDocument/2006/relationships/hyperlink" Target="https://www.expensify.com/report?reportID=R005oF9Cnm4v" TargetMode="External"/><Relationship Id="rId69" Type="http://schemas.openxmlformats.org/officeDocument/2006/relationships/hyperlink" Target="https://www.expensify.com/report?reportID=R00d21HKlhov" TargetMode="External"/><Relationship Id="rId164" Type="http://schemas.openxmlformats.org/officeDocument/2006/relationships/hyperlink" Target="https://www.expensify.com/report?reportID=R005oF9Cnm4v" TargetMode="External"/><Relationship Id="rId163" Type="http://schemas.openxmlformats.org/officeDocument/2006/relationships/hyperlink" Target="https://www.expensify.com/report?reportID=R005oF9Cnm4v" TargetMode="External"/><Relationship Id="rId162" Type="http://schemas.openxmlformats.org/officeDocument/2006/relationships/hyperlink" Target="https://www.expensify.com/report?reportID=R005oF9Cnm4v" TargetMode="External"/><Relationship Id="rId169" Type="http://schemas.openxmlformats.org/officeDocument/2006/relationships/hyperlink" Target="https://www.expensify.com/report?reportID=R00YBtm2qdbs" TargetMode="External"/><Relationship Id="rId168" Type="http://schemas.openxmlformats.org/officeDocument/2006/relationships/hyperlink" Target="https://www.expensify.com/report?reportID=R0081LzVpNPy" TargetMode="External"/><Relationship Id="rId167" Type="http://schemas.openxmlformats.org/officeDocument/2006/relationships/hyperlink" Target="https://www.expensify.com/report?reportID=R0081LzVpNPy" TargetMode="External"/><Relationship Id="rId166" Type="http://schemas.openxmlformats.org/officeDocument/2006/relationships/hyperlink" Target="https://www.expensify.com/report?reportID=R0081LzVpNPy" TargetMode="External"/><Relationship Id="rId51" Type="http://schemas.openxmlformats.org/officeDocument/2006/relationships/hyperlink" Target="https://www.expensify.com/report?reportID=R00d21HKlhov" TargetMode="External"/><Relationship Id="rId50" Type="http://schemas.openxmlformats.org/officeDocument/2006/relationships/hyperlink" Target="https://www.expensify.com/report?reportID=R00d21HKlhov" TargetMode="External"/><Relationship Id="rId53" Type="http://schemas.openxmlformats.org/officeDocument/2006/relationships/hyperlink" Target="http://amazon.com" TargetMode="External"/><Relationship Id="rId52" Type="http://schemas.openxmlformats.org/officeDocument/2006/relationships/hyperlink" Target="https://www.expensify.com/report?reportID=R00d21HKlhov" TargetMode="External"/><Relationship Id="rId55" Type="http://schemas.openxmlformats.org/officeDocument/2006/relationships/hyperlink" Target="https://www.expensify.com/report?reportID=R00d21HKlhov" TargetMode="External"/><Relationship Id="rId161" Type="http://schemas.openxmlformats.org/officeDocument/2006/relationships/hyperlink" Target="https://www.expensify.com/report?reportID=R005oF9Cnm4v" TargetMode="External"/><Relationship Id="rId54" Type="http://schemas.openxmlformats.org/officeDocument/2006/relationships/hyperlink" Target="https://www.expensify.com/report?reportID=R00d21HKlhov" TargetMode="External"/><Relationship Id="rId160" Type="http://schemas.openxmlformats.org/officeDocument/2006/relationships/hyperlink" Target="https://www.expensify.com/report?reportID=R005oF9Cnm4v" TargetMode="External"/><Relationship Id="rId57" Type="http://schemas.openxmlformats.org/officeDocument/2006/relationships/hyperlink" Target="https://www.expensify.com/report?reportID=R00d21HKlhov" TargetMode="External"/><Relationship Id="rId56" Type="http://schemas.openxmlformats.org/officeDocument/2006/relationships/hyperlink" Target="http://apple.com/bill" TargetMode="External"/><Relationship Id="rId159" Type="http://schemas.openxmlformats.org/officeDocument/2006/relationships/hyperlink" Target="https://www.expensify.com/report?reportID=R005oF9Cnm4v" TargetMode="External"/><Relationship Id="rId59" Type="http://schemas.openxmlformats.org/officeDocument/2006/relationships/hyperlink" Target="http://amazon.com" TargetMode="External"/><Relationship Id="rId154" Type="http://schemas.openxmlformats.org/officeDocument/2006/relationships/hyperlink" Target="https://www.expensify.com/report?reportID=R0071FdxtWY3" TargetMode="External"/><Relationship Id="rId58" Type="http://schemas.openxmlformats.org/officeDocument/2006/relationships/hyperlink" Target="https://www.expensify.com/report?reportID=R00d21HKlhov" TargetMode="External"/><Relationship Id="rId153" Type="http://schemas.openxmlformats.org/officeDocument/2006/relationships/hyperlink" Target="https://www.expensify.com/report?reportID=R0071FdxtWY3" TargetMode="External"/><Relationship Id="rId152" Type="http://schemas.openxmlformats.org/officeDocument/2006/relationships/hyperlink" Target="http://amazon.com" TargetMode="External"/><Relationship Id="rId151" Type="http://schemas.openxmlformats.org/officeDocument/2006/relationships/hyperlink" Target="https://www.expensify.com/report?reportID=R0071FdxtWY3" TargetMode="External"/><Relationship Id="rId158" Type="http://schemas.openxmlformats.org/officeDocument/2006/relationships/hyperlink" Target="https://www.expensify.com/report?reportID=R00Xj1mD9BYZ" TargetMode="External"/><Relationship Id="rId157" Type="http://schemas.openxmlformats.org/officeDocument/2006/relationships/hyperlink" Target="https://www.expensify.com/report?reportID=R00Yzy55bL81" TargetMode="External"/><Relationship Id="rId156" Type="http://schemas.openxmlformats.org/officeDocument/2006/relationships/hyperlink" Target="https://www.expensify.com/report?reportID=R00ECLzYoAc3" TargetMode="External"/><Relationship Id="rId155" Type="http://schemas.openxmlformats.org/officeDocument/2006/relationships/hyperlink" Target="https://www.expensify.com/report?reportID=R0071FdxtWY3" TargetMode="External"/><Relationship Id="rId107" Type="http://schemas.openxmlformats.org/officeDocument/2006/relationships/hyperlink" Target="https://www.expensify.com/report?reportID=R003b7TdaXTo" TargetMode="External"/><Relationship Id="rId228" Type="http://schemas.openxmlformats.org/officeDocument/2006/relationships/hyperlink" Target="https://www.expensify.com/report?reportID=R002QRpemDbx" TargetMode="External"/><Relationship Id="rId106" Type="http://schemas.openxmlformats.org/officeDocument/2006/relationships/hyperlink" Target="http://talkroute.com" TargetMode="External"/><Relationship Id="rId227" Type="http://schemas.openxmlformats.org/officeDocument/2006/relationships/hyperlink" Target="https://www.expensify.com/report?reportID=R002QRpemDbx" TargetMode="External"/><Relationship Id="rId105" Type="http://schemas.openxmlformats.org/officeDocument/2006/relationships/hyperlink" Target="https://www.expensify.com/report?reportID=R003b7TdaXTo" TargetMode="External"/><Relationship Id="rId226" Type="http://schemas.openxmlformats.org/officeDocument/2006/relationships/hyperlink" Target="https://www.expensify.com/report?reportID=R002QRpemDbx" TargetMode="External"/><Relationship Id="rId104" Type="http://schemas.openxmlformats.org/officeDocument/2006/relationships/hyperlink" Target="https://www.expensify.com/report?reportID=R003b7TdaXTo" TargetMode="External"/><Relationship Id="rId225" Type="http://schemas.openxmlformats.org/officeDocument/2006/relationships/hyperlink" Target="https://www.expensify.com/report?reportID=R002QRpemDbx" TargetMode="External"/><Relationship Id="rId109" Type="http://schemas.openxmlformats.org/officeDocument/2006/relationships/hyperlink" Target="https://www.expensify.com/report?reportID=R003b7TdaXTo" TargetMode="External"/><Relationship Id="rId108" Type="http://schemas.openxmlformats.org/officeDocument/2006/relationships/hyperlink" Target="https://www.expensify.com/report?reportID=R003b7TdaXTo" TargetMode="External"/><Relationship Id="rId229" Type="http://schemas.openxmlformats.org/officeDocument/2006/relationships/hyperlink" Target="https://www.expensify.com/report?reportID=R002QRpemDbx" TargetMode="External"/><Relationship Id="rId220" Type="http://schemas.openxmlformats.org/officeDocument/2006/relationships/hyperlink" Target="https://www.expensify.com/report?reportID=R00SN2qxrctq" TargetMode="External"/><Relationship Id="rId103" Type="http://schemas.openxmlformats.org/officeDocument/2006/relationships/hyperlink" Target="https://www.expensify.com/report?reportID=R003b7TdaXTo" TargetMode="External"/><Relationship Id="rId224" Type="http://schemas.openxmlformats.org/officeDocument/2006/relationships/hyperlink" Target="https://www.expensify.com/report?reportID=R00S4gEolEHC" TargetMode="External"/><Relationship Id="rId102" Type="http://schemas.openxmlformats.org/officeDocument/2006/relationships/hyperlink" Target="https://www.expensify.com/report?reportID=R00KWpKn1aTr" TargetMode="External"/><Relationship Id="rId223" Type="http://schemas.openxmlformats.org/officeDocument/2006/relationships/hyperlink" Target="https://www.expensify.com/report?reportID=R00S4gEolEHC" TargetMode="External"/><Relationship Id="rId101" Type="http://schemas.openxmlformats.org/officeDocument/2006/relationships/hyperlink" Target="https://www.expensify.com/report?reportID=R00KWpKn1aTr" TargetMode="External"/><Relationship Id="rId222" Type="http://schemas.openxmlformats.org/officeDocument/2006/relationships/hyperlink" Target="https://www.expensify.com/report?reportID=R00WbgGvBuZB" TargetMode="External"/><Relationship Id="rId100" Type="http://schemas.openxmlformats.org/officeDocument/2006/relationships/hyperlink" Target="http://nebulastl.com" TargetMode="External"/><Relationship Id="rId221" Type="http://schemas.openxmlformats.org/officeDocument/2006/relationships/hyperlink" Target="https://www.expensify.com/report?reportID=R00A3GNBc6nE" TargetMode="External"/><Relationship Id="rId217" Type="http://schemas.openxmlformats.org/officeDocument/2006/relationships/hyperlink" Target="https://www.expensify.com/report?reportID=R00Aj48pMmPj" TargetMode="External"/><Relationship Id="rId216" Type="http://schemas.openxmlformats.org/officeDocument/2006/relationships/hyperlink" Target="https://www.expensify.com/report?reportID=R00TTBItgcHZ" TargetMode="External"/><Relationship Id="rId215" Type="http://schemas.openxmlformats.org/officeDocument/2006/relationships/hyperlink" Target="https://www.expensify.com/report?reportID=R00OlpHXYvsB" TargetMode="External"/><Relationship Id="rId214" Type="http://schemas.openxmlformats.org/officeDocument/2006/relationships/hyperlink" Target="https://www.expensify.com/report?reportID=R00U5SoQXnUU" TargetMode="External"/><Relationship Id="rId219" Type="http://schemas.openxmlformats.org/officeDocument/2006/relationships/hyperlink" Target="https://www.expensify.com/report?reportID=R001hE9HcUXU" TargetMode="External"/><Relationship Id="rId218" Type="http://schemas.openxmlformats.org/officeDocument/2006/relationships/hyperlink" Target="https://www.expensify.com/report?reportID=R00R2RrxXrnl" TargetMode="External"/><Relationship Id="rId213" Type="http://schemas.openxmlformats.org/officeDocument/2006/relationships/hyperlink" Target="https://www.expensify.com/report?reportID=R00Xe1tfzVBe" TargetMode="External"/><Relationship Id="rId212" Type="http://schemas.openxmlformats.org/officeDocument/2006/relationships/hyperlink" Target="https://www.expensify.com/report?reportID=R00LNRvGLeHC" TargetMode="External"/><Relationship Id="rId211" Type="http://schemas.openxmlformats.org/officeDocument/2006/relationships/hyperlink" Target="https://www.expensify.com/report?reportID=R003wc1cV5Pl" TargetMode="External"/><Relationship Id="rId210" Type="http://schemas.openxmlformats.org/officeDocument/2006/relationships/hyperlink" Target="https://www.expensify.com/report?reportID=R00dvA6xA4yA" TargetMode="External"/><Relationship Id="rId129" Type="http://schemas.openxmlformats.org/officeDocument/2006/relationships/hyperlink" Target="https://www.expensify.com/report?reportID=R003b7TdaXTo" TargetMode="External"/><Relationship Id="rId128" Type="http://schemas.openxmlformats.org/officeDocument/2006/relationships/hyperlink" Target="https://www.expensify.com/report?reportID=R003b7TdaXTo" TargetMode="External"/><Relationship Id="rId127" Type="http://schemas.openxmlformats.org/officeDocument/2006/relationships/hyperlink" Target="https://www.expensify.com/report?reportID=R003b7TdaXTo" TargetMode="External"/><Relationship Id="rId126" Type="http://schemas.openxmlformats.org/officeDocument/2006/relationships/hyperlink" Target="https://www.expensify.com/report?reportID=R009o8g3OWxn" TargetMode="External"/><Relationship Id="rId121" Type="http://schemas.openxmlformats.org/officeDocument/2006/relationships/hyperlink" Target="https://www.expensify.com/report?reportID=R009o8g3OWxn" TargetMode="External"/><Relationship Id="rId120" Type="http://schemas.openxmlformats.org/officeDocument/2006/relationships/hyperlink" Target="https://www.expensify.com/report?reportID=R003b7TdaXTo" TargetMode="External"/><Relationship Id="rId125" Type="http://schemas.openxmlformats.org/officeDocument/2006/relationships/hyperlink" Target="http://getclockwise.com" TargetMode="External"/><Relationship Id="rId124" Type="http://schemas.openxmlformats.org/officeDocument/2006/relationships/hyperlink" Target="https://www.expensify.com/report?reportID=R009o8g3OWxn" TargetMode="External"/><Relationship Id="rId123" Type="http://schemas.openxmlformats.org/officeDocument/2006/relationships/hyperlink" Target="https://www.expensify.com/report?reportID=R003b7TdaXTo" TargetMode="External"/><Relationship Id="rId122" Type="http://schemas.openxmlformats.org/officeDocument/2006/relationships/hyperlink" Target="https://www.expensify.com/report?reportID=R009o8g3OWxn" TargetMode="External"/><Relationship Id="rId95" Type="http://schemas.openxmlformats.org/officeDocument/2006/relationships/hyperlink" Target="http://expensify.com" TargetMode="External"/><Relationship Id="rId94" Type="http://schemas.openxmlformats.org/officeDocument/2006/relationships/hyperlink" Target="https://www.expensify.com/report?reportID=R00KWpKn1aTr" TargetMode="External"/><Relationship Id="rId97" Type="http://schemas.openxmlformats.org/officeDocument/2006/relationships/hyperlink" Target="https://www.expensify.com/report?reportID=R00KWpKn1aTr" TargetMode="External"/><Relationship Id="rId96" Type="http://schemas.openxmlformats.org/officeDocument/2006/relationships/hyperlink" Target="https://www.expensify.com/report?reportID=R00KWpKn1aTr" TargetMode="External"/><Relationship Id="rId99" Type="http://schemas.openxmlformats.org/officeDocument/2006/relationships/hyperlink" Target="https://www.expensify.com/report?reportID=R00KWpKn1aTr" TargetMode="External"/><Relationship Id="rId98" Type="http://schemas.openxmlformats.org/officeDocument/2006/relationships/hyperlink" Target="https://www.expensify.com/report?reportID=R00KWpKn1aTr" TargetMode="External"/><Relationship Id="rId91" Type="http://schemas.openxmlformats.org/officeDocument/2006/relationships/hyperlink" Target="https://www.expensify.com/report?reportID=R00d21HKlhov" TargetMode="External"/><Relationship Id="rId90" Type="http://schemas.openxmlformats.org/officeDocument/2006/relationships/hyperlink" Target="https://www.expensify.com/report?reportID=R00d21HKlhov" TargetMode="External"/><Relationship Id="rId93" Type="http://schemas.openxmlformats.org/officeDocument/2006/relationships/hyperlink" Target="https://www.expensify.com/report?reportID=R00KWpKn1aTr" TargetMode="External"/><Relationship Id="rId92" Type="http://schemas.openxmlformats.org/officeDocument/2006/relationships/hyperlink" Target="https://www.expensify.com/report?reportID=R00d21HKlhov" TargetMode="External"/><Relationship Id="rId118" Type="http://schemas.openxmlformats.org/officeDocument/2006/relationships/hyperlink" Target="https://www.expensify.com/report?reportID=R003b7TdaXTo" TargetMode="External"/><Relationship Id="rId117" Type="http://schemas.openxmlformats.org/officeDocument/2006/relationships/hyperlink" Target="https://www.expensify.com/report?reportID=R003b7TdaXTo" TargetMode="External"/><Relationship Id="rId116" Type="http://schemas.openxmlformats.org/officeDocument/2006/relationships/hyperlink" Target="https://www.expensify.com/report?reportID=R003b7TdaXTo" TargetMode="External"/><Relationship Id="rId115" Type="http://schemas.openxmlformats.org/officeDocument/2006/relationships/hyperlink" Target="https://www.expensify.com/report?reportID=R003b7TdaXTo" TargetMode="External"/><Relationship Id="rId236" Type="http://schemas.openxmlformats.org/officeDocument/2006/relationships/drawing" Target="../drawings/drawing21.xml"/><Relationship Id="rId119" Type="http://schemas.openxmlformats.org/officeDocument/2006/relationships/hyperlink" Target="https://www.expensify.com/report?reportID=R003b7TdaXTo" TargetMode="External"/><Relationship Id="rId110" Type="http://schemas.openxmlformats.org/officeDocument/2006/relationships/hyperlink" Target="https://www.expensify.com/report?reportID=R003b7TdaXTo" TargetMode="External"/><Relationship Id="rId231" Type="http://schemas.openxmlformats.org/officeDocument/2006/relationships/hyperlink" Target="https://www.expensify.com/report?reportID=R00HJD3sJYyb" TargetMode="External"/><Relationship Id="rId230" Type="http://schemas.openxmlformats.org/officeDocument/2006/relationships/hyperlink" Target="https://www.expensify.com/report?reportID=R002QRpemDbx" TargetMode="External"/><Relationship Id="rId114" Type="http://schemas.openxmlformats.org/officeDocument/2006/relationships/hyperlink" Target="https://www.expensify.com/report?reportID=R003b7TdaXTo" TargetMode="External"/><Relationship Id="rId235" Type="http://schemas.openxmlformats.org/officeDocument/2006/relationships/hyperlink" Target="https://www.expensify.com/report?reportID=R00LtOO3fYCx" TargetMode="External"/><Relationship Id="rId113" Type="http://schemas.openxmlformats.org/officeDocument/2006/relationships/hyperlink" Target="https://www.expensify.com/report?reportID=R003b7TdaXTo" TargetMode="External"/><Relationship Id="rId234" Type="http://schemas.openxmlformats.org/officeDocument/2006/relationships/hyperlink" Target="http://www.rightinbox.com" TargetMode="External"/><Relationship Id="rId112" Type="http://schemas.openxmlformats.org/officeDocument/2006/relationships/hyperlink" Target="https://www.expensify.com/report?reportID=R003b7TdaXTo" TargetMode="External"/><Relationship Id="rId233" Type="http://schemas.openxmlformats.org/officeDocument/2006/relationships/hyperlink" Target="https://www.expensify.com/report?reportID=R00C1jeQFGB8" TargetMode="External"/><Relationship Id="rId111" Type="http://schemas.openxmlformats.org/officeDocument/2006/relationships/hyperlink" Target="https://www.expensify.com/report?reportID=R003b7TdaXTo" TargetMode="External"/><Relationship Id="rId232" Type="http://schemas.openxmlformats.org/officeDocument/2006/relationships/hyperlink" Target="https://www.expensify.com/report?reportID=R00C1jeQFGB8" TargetMode="External"/><Relationship Id="rId206" Type="http://schemas.openxmlformats.org/officeDocument/2006/relationships/hyperlink" Target="https://www.expensify.com/report?reportID=R009ZWhlepbC" TargetMode="External"/><Relationship Id="rId205" Type="http://schemas.openxmlformats.org/officeDocument/2006/relationships/hyperlink" Target="https://www.expensify.com/report?reportID=R009ZWhlepbC" TargetMode="External"/><Relationship Id="rId204" Type="http://schemas.openxmlformats.org/officeDocument/2006/relationships/hyperlink" Target="https://www.expensify.com/report?reportID=R009ZWhlepbC" TargetMode="External"/><Relationship Id="rId203" Type="http://schemas.openxmlformats.org/officeDocument/2006/relationships/hyperlink" Target="https://www.expensify.com/report?reportID=R009ZWhlepbC" TargetMode="External"/><Relationship Id="rId209" Type="http://schemas.openxmlformats.org/officeDocument/2006/relationships/hyperlink" Target="https://www.expensify.com/report?reportID=R009ZWhlepbC" TargetMode="External"/><Relationship Id="rId208" Type="http://schemas.openxmlformats.org/officeDocument/2006/relationships/hyperlink" Target="https://www.expensify.com/report?reportID=R00dvA6xA4yA" TargetMode="External"/><Relationship Id="rId207" Type="http://schemas.openxmlformats.org/officeDocument/2006/relationships/hyperlink" Target="https://www.expensify.com/report?reportID=R00dvA6xA4yA" TargetMode="External"/><Relationship Id="rId202" Type="http://schemas.openxmlformats.org/officeDocument/2006/relationships/hyperlink" Target="https://www.expensify.com/report?reportID=R00WWa7BZtJT" TargetMode="External"/><Relationship Id="rId201" Type="http://schemas.openxmlformats.org/officeDocument/2006/relationships/hyperlink" Target="https://www.expensify.com/report?reportID=R00WWa7BZtJT" TargetMode="External"/><Relationship Id="rId200" Type="http://schemas.openxmlformats.org/officeDocument/2006/relationships/hyperlink" Target="https://www.expensify.com/report?reportID=R009ZWhlepbC" TargetMode="Externa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hyperlink" Target="http://bill.com/" TargetMode="External"/><Relationship Id="rId2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  <pageSetUpPr fitToPage="1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6.25"/>
    <col customWidth="1" min="2" max="2" width="23.63"/>
    <col customWidth="1" min="5" max="5" width="21.88"/>
    <col customWidth="1" min="6" max="6" width="20.13"/>
    <col customWidth="1" min="7" max="7" width="7.13"/>
  </cols>
  <sheetData>
    <row r="1">
      <c r="A1" s="1"/>
      <c r="B1" s="1"/>
      <c r="C1" s="1"/>
      <c r="D1" s="1"/>
      <c r="E1" s="1"/>
      <c r="F1" s="1"/>
      <c r="G1" s="1"/>
    </row>
    <row r="2">
      <c r="A2" s="1"/>
      <c r="B2" s="1"/>
      <c r="C2" s="1"/>
      <c r="D2" s="1"/>
      <c r="E2" s="1"/>
      <c r="F2" s="2"/>
      <c r="G2" s="1"/>
    </row>
    <row r="3">
      <c r="A3" s="1"/>
      <c r="B3" s="1"/>
      <c r="C3" s="1"/>
      <c r="D3" s="1"/>
      <c r="E3" s="1"/>
      <c r="F3" s="3"/>
      <c r="G3" s="1"/>
    </row>
    <row r="4">
      <c r="A4" s="1"/>
      <c r="B4" s="1"/>
      <c r="C4" s="1"/>
      <c r="D4" s="1"/>
      <c r="E4" s="1"/>
      <c r="F4" s="4"/>
      <c r="G4" s="1"/>
    </row>
    <row r="5" ht="23.25" customHeight="1">
      <c r="A5" s="5"/>
      <c r="B5" s="6"/>
      <c r="C5" s="5"/>
      <c r="D5" s="5"/>
      <c r="E5" s="5"/>
      <c r="F5" s="5"/>
      <c r="G5" s="5"/>
    </row>
    <row r="6">
      <c r="A6" s="1"/>
      <c r="B6" s="7"/>
      <c r="C6" s="7"/>
      <c r="D6" s="7"/>
      <c r="E6" s="8"/>
      <c r="F6" s="8"/>
      <c r="G6" s="9"/>
    </row>
    <row r="7" ht="14.25" customHeight="1">
      <c r="A7" s="1"/>
      <c r="B7" s="10"/>
      <c r="C7" s="11"/>
      <c r="D7" s="10"/>
      <c r="E7" s="10"/>
      <c r="F7" s="10"/>
      <c r="G7" s="1"/>
    </row>
    <row r="8" ht="14.25" customHeight="1">
      <c r="A8" s="1"/>
      <c r="B8" s="10"/>
      <c r="C8" s="11"/>
      <c r="D8" s="10"/>
      <c r="E8" s="10"/>
      <c r="F8" s="10"/>
      <c r="G8" s="1"/>
    </row>
    <row r="9" ht="14.25" customHeight="1">
      <c r="A9" s="1"/>
      <c r="B9" s="12"/>
      <c r="C9" s="13"/>
      <c r="D9" s="12"/>
      <c r="E9" s="12"/>
      <c r="F9" s="12"/>
      <c r="G9" s="1"/>
    </row>
    <row r="10" ht="14.25" customHeight="1">
      <c r="A10" s="1"/>
      <c r="B10" s="10"/>
      <c r="C10" s="11"/>
      <c r="D10" s="10"/>
      <c r="E10" s="10"/>
      <c r="F10" s="10"/>
      <c r="G10" s="1"/>
    </row>
    <row r="11" ht="14.25" customHeight="1">
      <c r="A11" s="1"/>
      <c r="B11" s="12"/>
      <c r="C11" s="13"/>
      <c r="D11" s="12"/>
      <c r="E11" s="12"/>
      <c r="F11" s="12"/>
      <c r="G11" s="14"/>
    </row>
    <row r="12" ht="14.25" customHeight="1">
      <c r="A12" s="1"/>
      <c r="B12" s="10"/>
      <c r="C12" s="11"/>
      <c r="D12" s="10"/>
      <c r="E12" s="10"/>
      <c r="F12" s="10"/>
      <c r="G12" s="1"/>
    </row>
    <row r="13" ht="3.0" customHeight="1">
      <c r="A13" s="1"/>
      <c r="B13" s="1"/>
      <c r="C13" s="1"/>
      <c r="D13" s="1"/>
      <c r="E13" s="1"/>
      <c r="F13" s="1"/>
      <c r="G13" s="1"/>
    </row>
    <row r="14">
      <c r="A14" s="1"/>
      <c r="B14" s="15"/>
      <c r="C14" s="16"/>
      <c r="D14" s="16"/>
      <c r="E14" s="16"/>
      <c r="F14" s="16"/>
      <c r="G14" s="1"/>
    </row>
    <row r="15">
      <c r="A15" s="1"/>
      <c r="B15" s="1"/>
      <c r="C15" s="1"/>
      <c r="D15" s="1"/>
      <c r="E15" s="1"/>
      <c r="F15" s="1"/>
      <c r="G15" s="1"/>
    </row>
    <row r="16">
      <c r="A16" s="1"/>
      <c r="B16" s="1"/>
      <c r="C16" s="1"/>
      <c r="D16" s="1"/>
      <c r="E16" s="1"/>
      <c r="F16" s="1"/>
      <c r="G16" s="1"/>
    </row>
    <row r="17">
      <c r="A17" s="1"/>
      <c r="B17" s="1"/>
      <c r="C17" s="1"/>
      <c r="D17" s="1"/>
      <c r="E17" s="1"/>
      <c r="F17" s="1"/>
      <c r="G17" s="1"/>
    </row>
    <row r="18">
      <c r="A18" s="1"/>
      <c r="B18" s="1"/>
      <c r="C18" s="1"/>
      <c r="D18" s="1"/>
      <c r="E18" s="1"/>
      <c r="F18" s="1"/>
      <c r="G18" s="1"/>
    </row>
    <row r="19">
      <c r="A19" s="1"/>
      <c r="B19" s="1"/>
      <c r="C19" s="1"/>
      <c r="D19" s="1"/>
      <c r="E19" s="1"/>
      <c r="F19" s="1"/>
      <c r="G19" s="1"/>
    </row>
    <row r="20">
      <c r="A20" s="1"/>
      <c r="B20" s="1"/>
      <c r="C20" s="1"/>
      <c r="D20" s="1"/>
      <c r="E20" s="1"/>
      <c r="F20" s="1"/>
      <c r="G20" s="1"/>
    </row>
    <row r="21">
      <c r="A21" s="1"/>
      <c r="B21" s="1"/>
      <c r="C21" s="1"/>
      <c r="D21" s="1"/>
      <c r="E21" s="1"/>
      <c r="F21" s="1"/>
      <c r="G21" s="1"/>
    </row>
    <row r="22">
      <c r="A22" s="1"/>
      <c r="B22" s="1"/>
      <c r="C22" s="1"/>
      <c r="D22" s="1"/>
      <c r="E22" s="1"/>
      <c r="F22" s="1"/>
      <c r="G22" s="1"/>
    </row>
    <row r="23" ht="4.5" customHeight="1">
      <c r="A23" s="1"/>
      <c r="B23" s="17"/>
      <c r="C23" s="17"/>
      <c r="D23" s="17"/>
      <c r="E23" s="17"/>
      <c r="F23" s="17"/>
      <c r="G23" s="1"/>
    </row>
    <row r="24" ht="23.25" customHeight="1">
      <c r="A24" s="5"/>
      <c r="B24" s="18"/>
      <c r="C24" s="19"/>
      <c r="D24" s="19"/>
      <c r="E24" s="19"/>
      <c r="F24" s="19"/>
      <c r="G24" s="5"/>
    </row>
    <row r="25">
      <c r="A25" s="1"/>
      <c r="B25" s="20"/>
      <c r="C25" s="20"/>
      <c r="D25" s="20"/>
      <c r="E25" s="20"/>
      <c r="F25" s="20"/>
      <c r="G25" s="9"/>
    </row>
    <row r="26" ht="14.25" customHeight="1">
      <c r="A26" s="1"/>
      <c r="B26" s="21"/>
      <c r="C26" s="22"/>
      <c r="D26" s="23"/>
      <c r="E26" s="23"/>
      <c r="F26" s="23"/>
      <c r="G26" s="1"/>
    </row>
    <row r="27" ht="14.25" customHeight="1">
      <c r="A27" s="1"/>
      <c r="B27" s="24"/>
      <c r="C27" s="25"/>
      <c r="D27" s="24"/>
      <c r="E27" s="24"/>
      <c r="F27" s="26"/>
      <c r="G27" s="1"/>
    </row>
    <row r="28" ht="14.25" customHeight="1">
      <c r="A28" s="1"/>
      <c r="B28" s="27"/>
      <c r="C28" s="28"/>
      <c r="D28" s="29"/>
      <c r="E28" s="29"/>
      <c r="F28" s="29"/>
      <c r="G28" s="1"/>
    </row>
    <row r="29" ht="14.25" customHeight="1">
      <c r="A29" s="1"/>
      <c r="B29" s="24"/>
      <c r="C29" s="25"/>
      <c r="D29" s="24"/>
      <c r="E29" s="24"/>
      <c r="F29" s="26"/>
      <c r="G29" s="1"/>
    </row>
    <row r="30" ht="14.25" customHeight="1">
      <c r="A30" s="1"/>
      <c r="B30" s="27"/>
      <c r="C30" s="28"/>
      <c r="D30" s="29"/>
      <c r="E30" s="29"/>
      <c r="F30" s="29"/>
      <c r="G30" s="1"/>
    </row>
    <row r="31" ht="14.25" customHeight="1">
      <c r="A31" s="1"/>
      <c r="B31" s="24"/>
      <c r="C31" s="25"/>
      <c r="D31" s="24"/>
      <c r="E31" s="24"/>
      <c r="F31" s="26"/>
      <c r="G31" s="1"/>
    </row>
    <row r="32" ht="14.25" customHeight="1">
      <c r="A32" s="1"/>
      <c r="B32" s="27"/>
      <c r="C32" s="28"/>
      <c r="D32" s="29"/>
      <c r="E32" s="29"/>
      <c r="F32" s="29"/>
      <c r="G32" s="1"/>
    </row>
    <row r="33" ht="14.25" customHeight="1">
      <c r="A33" s="1"/>
      <c r="B33" s="24"/>
      <c r="C33" s="25"/>
      <c r="D33" s="24"/>
      <c r="E33" s="24"/>
      <c r="F33" s="26"/>
      <c r="G33" s="1"/>
    </row>
    <row r="34" ht="14.25" customHeight="1">
      <c r="A34" s="1"/>
      <c r="B34" s="27"/>
      <c r="C34" s="28"/>
      <c r="D34" s="29"/>
      <c r="E34" s="29"/>
      <c r="F34" s="29"/>
      <c r="G34" s="1"/>
    </row>
    <row r="35" ht="14.25" customHeight="1">
      <c r="A35" s="1"/>
      <c r="B35" s="24"/>
      <c r="C35" s="25"/>
      <c r="D35" s="24"/>
      <c r="E35" s="24"/>
      <c r="F35" s="26"/>
      <c r="G35" s="1"/>
    </row>
    <row r="36" ht="14.25" customHeight="1">
      <c r="A36" s="1"/>
      <c r="B36" s="27"/>
      <c r="C36" s="28"/>
      <c r="D36" s="29"/>
      <c r="E36" s="29"/>
      <c r="F36" s="29"/>
      <c r="G36" s="1"/>
    </row>
    <row r="37" ht="14.25" customHeight="1">
      <c r="A37" s="1"/>
      <c r="B37" s="24"/>
      <c r="C37" s="25"/>
      <c r="D37" s="24"/>
      <c r="E37" s="24"/>
      <c r="F37" s="26"/>
      <c r="G37" s="1"/>
    </row>
    <row r="38" ht="14.25" customHeight="1">
      <c r="A38" s="1"/>
      <c r="B38" s="27"/>
      <c r="C38" s="28"/>
      <c r="D38" s="29"/>
      <c r="E38" s="29"/>
      <c r="F38" s="29"/>
      <c r="G38" s="1"/>
    </row>
    <row r="39" ht="14.25" customHeight="1">
      <c r="A39" s="1"/>
      <c r="B39" s="24"/>
      <c r="C39" s="25"/>
      <c r="D39" s="24"/>
      <c r="E39" s="24"/>
      <c r="F39" s="26"/>
      <c r="G39" s="1"/>
    </row>
    <row r="40" ht="14.25" customHeight="1">
      <c r="A40" s="1"/>
      <c r="B40" s="27"/>
      <c r="C40" s="28"/>
      <c r="D40" s="29"/>
      <c r="E40" s="29"/>
      <c r="F40" s="29"/>
      <c r="G40" s="1"/>
    </row>
    <row r="41" ht="14.25" customHeight="1">
      <c r="A41" s="1"/>
      <c r="B41" s="24"/>
      <c r="C41" s="25"/>
      <c r="D41" s="24"/>
      <c r="E41" s="24"/>
      <c r="F41" s="26"/>
      <c r="G41" s="1"/>
    </row>
    <row r="42" ht="14.25" customHeight="1">
      <c r="A42" s="1"/>
      <c r="B42" s="27"/>
      <c r="C42" s="28"/>
      <c r="D42" s="29"/>
      <c r="E42" s="29"/>
      <c r="F42" s="29"/>
      <c r="G42" s="1"/>
    </row>
    <row r="43" ht="14.25" customHeight="1">
      <c r="A43" s="1"/>
      <c r="B43" s="24"/>
      <c r="C43" s="25"/>
      <c r="D43" s="24"/>
      <c r="E43" s="24"/>
      <c r="F43" s="26"/>
      <c r="G43" s="1"/>
    </row>
    <row r="44" ht="1.5" customHeight="1">
      <c r="A44" s="1"/>
      <c r="B44" s="30"/>
      <c r="C44" s="1"/>
      <c r="D44" s="1"/>
      <c r="E44" s="1"/>
      <c r="F44" s="1"/>
      <c r="G44" s="1"/>
    </row>
    <row r="45">
      <c r="A45" s="1"/>
      <c r="B45" s="31"/>
      <c r="C45" s="32"/>
      <c r="D45" s="32"/>
      <c r="E45" s="32"/>
      <c r="F45" s="32"/>
      <c r="G45" s="1"/>
    </row>
    <row r="46">
      <c r="A46" s="1"/>
      <c r="B46" s="1"/>
      <c r="C46" s="1"/>
      <c r="D46" s="1"/>
      <c r="E46" s="1"/>
      <c r="F46" s="1"/>
      <c r="G46" s="1"/>
    </row>
    <row r="47">
      <c r="A47" s="1"/>
      <c r="B47" s="1"/>
      <c r="C47" s="1"/>
      <c r="D47" s="1"/>
      <c r="E47" s="1"/>
      <c r="F47" s="1"/>
      <c r="G47" s="1"/>
    </row>
    <row r="48">
      <c r="A48" s="1"/>
      <c r="B48" s="1"/>
      <c r="C48" s="1"/>
      <c r="D48" s="1"/>
      <c r="E48" s="1"/>
      <c r="F48" s="1"/>
      <c r="G48" s="1"/>
    </row>
    <row r="49">
      <c r="A49" s="1"/>
      <c r="B49" s="1"/>
      <c r="C49" s="1"/>
      <c r="D49" s="1"/>
      <c r="E49" s="1"/>
      <c r="F49" s="1"/>
      <c r="G49" s="1"/>
    </row>
    <row r="50">
      <c r="A50" s="1"/>
      <c r="B50" s="1"/>
      <c r="C50" s="1"/>
      <c r="D50" s="1"/>
      <c r="E50" s="1"/>
      <c r="F50" s="1"/>
      <c r="G50" s="1"/>
    </row>
    <row r="51">
      <c r="A51" s="1"/>
      <c r="B51" s="1"/>
      <c r="C51" s="1"/>
      <c r="D51" s="1"/>
      <c r="E51" s="1"/>
      <c r="F51" s="1"/>
      <c r="G51" s="1"/>
    </row>
    <row r="52">
      <c r="A52" s="1"/>
      <c r="B52" s="1"/>
      <c r="C52" s="1"/>
      <c r="D52" s="1"/>
      <c r="E52" s="1"/>
      <c r="F52" s="1"/>
      <c r="G52" s="1"/>
    </row>
    <row r="53">
      <c r="A53" s="1"/>
      <c r="B53" s="1"/>
      <c r="C53" s="1"/>
      <c r="D53" s="1"/>
      <c r="E53" s="1"/>
      <c r="F53" s="1"/>
      <c r="G53" s="1"/>
    </row>
    <row r="54">
      <c r="A54" s="1"/>
      <c r="B54" s="1"/>
      <c r="C54" s="1"/>
      <c r="D54" s="1"/>
      <c r="E54" s="1"/>
      <c r="F54" s="1"/>
      <c r="G54" s="1"/>
    </row>
    <row r="55">
      <c r="A55" s="1"/>
      <c r="B55" s="1"/>
      <c r="C55" s="1"/>
      <c r="D55" s="1"/>
      <c r="E55" s="1"/>
      <c r="F55" s="1"/>
      <c r="G55" s="1"/>
    </row>
    <row r="56">
      <c r="A56" s="1"/>
      <c r="B56" s="1"/>
      <c r="C56" s="1"/>
      <c r="D56" s="1"/>
      <c r="E56" s="1"/>
      <c r="F56" s="1"/>
      <c r="G56" s="1"/>
    </row>
    <row r="57" ht="12.75" customHeight="1">
      <c r="A57" s="1"/>
      <c r="B57" s="1"/>
      <c r="C57" s="1"/>
      <c r="D57" s="1"/>
      <c r="E57" s="1"/>
      <c r="F57" s="1"/>
      <c r="G57" s="1"/>
    </row>
    <row r="58" ht="23.25" customHeight="1">
      <c r="A58" s="5"/>
      <c r="B58" s="33"/>
      <c r="C58" s="5"/>
      <c r="D58" s="5"/>
      <c r="E58" s="5"/>
      <c r="F58" s="5"/>
      <c r="G58" s="5"/>
    </row>
    <row r="59">
      <c r="A59" s="1"/>
      <c r="B59" s="31"/>
      <c r="C59" s="32"/>
      <c r="D59" s="32"/>
      <c r="E59" s="32"/>
      <c r="F59" s="32"/>
      <c r="G59" s="1"/>
    </row>
    <row r="60">
      <c r="A60" s="1"/>
      <c r="B60" s="1"/>
      <c r="C60" s="1"/>
      <c r="D60" s="1"/>
      <c r="E60" s="1"/>
      <c r="F60" s="1"/>
      <c r="G60" s="1"/>
    </row>
    <row r="61">
      <c r="A61" s="1"/>
      <c r="B61" s="1"/>
      <c r="C61" s="1"/>
      <c r="D61" s="1"/>
      <c r="E61" s="1"/>
      <c r="F61" s="1"/>
      <c r="G61" s="1"/>
    </row>
    <row r="62">
      <c r="A62" s="1"/>
      <c r="B62" s="1"/>
      <c r="C62" s="1"/>
      <c r="D62" s="1"/>
      <c r="E62" s="1"/>
      <c r="F62" s="1"/>
      <c r="G62" s="1"/>
    </row>
    <row r="63">
      <c r="A63" s="1"/>
      <c r="B63" s="1"/>
      <c r="C63" s="1"/>
      <c r="D63" s="1"/>
      <c r="E63" s="1"/>
      <c r="F63" s="1"/>
      <c r="G63" s="1"/>
    </row>
    <row r="64">
      <c r="A64" s="1"/>
      <c r="B64" s="1"/>
      <c r="C64" s="1"/>
      <c r="D64" s="1"/>
      <c r="E64" s="1"/>
      <c r="F64" s="1"/>
      <c r="G64" s="1"/>
    </row>
    <row r="65">
      <c r="A65" s="1"/>
      <c r="B65" s="1"/>
      <c r="C65" s="1"/>
      <c r="D65" s="1"/>
      <c r="E65" s="1"/>
      <c r="F65" s="1"/>
      <c r="G65" s="1"/>
    </row>
    <row r="66">
      <c r="A66" s="1"/>
      <c r="B66" s="1"/>
      <c r="C66" s="1"/>
      <c r="D66" s="1"/>
      <c r="E66" s="1"/>
      <c r="F66" s="1"/>
      <c r="G66" s="1"/>
    </row>
    <row r="67">
      <c r="A67" s="1"/>
      <c r="B67" s="1"/>
      <c r="C67" s="1"/>
      <c r="D67" s="1"/>
      <c r="E67" s="1"/>
      <c r="F67" s="1"/>
      <c r="G67" s="1"/>
    </row>
    <row r="68">
      <c r="A68" s="1"/>
      <c r="B68" s="1"/>
      <c r="C68" s="1"/>
      <c r="D68" s="1"/>
      <c r="E68" s="1"/>
      <c r="F68" s="1"/>
      <c r="G68" s="1"/>
    </row>
    <row r="69">
      <c r="A69" s="1"/>
      <c r="B69" s="1"/>
      <c r="C69" s="1"/>
      <c r="D69" s="1"/>
      <c r="E69" s="1"/>
      <c r="F69" s="1"/>
      <c r="G69" s="1"/>
    </row>
    <row r="70">
      <c r="A70" s="1"/>
      <c r="B70" s="1"/>
      <c r="C70" s="1"/>
      <c r="D70" s="1"/>
      <c r="E70" s="1"/>
      <c r="F70" s="1"/>
      <c r="G70" s="1"/>
    </row>
    <row r="71">
      <c r="A71" s="1"/>
      <c r="B71" s="1"/>
      <c r="C71" s="1"/>
      <c r="D71" s="1"/>
      <c r="E71" s="1"/>
      <c r="F71" s="1"/>
      <c r="G71" s="1"/>
    </row>
    <row r="72" ht="23.25" customHeight="1">
      <c r="A72" s="5"/>
      <c r="B72" s="34"/>
      <c r="C72" s="5"/>
      <c r="D72" s="5"/>
      <c r="E72" s="5"/>
      <c r="F72" s="5"/>
      <c r="G72" s="5"/>
    </row>
    <row r="73">
      <c r="A73" s="1"/>
      <c r="B73" s="31"/>
      <c r="C73" s="32"/>
      <c r="D73" s="32"/>
      <c r="E73" s="32"/>
      <c r="F73" s="32"/>
      <c r="G73" s="1"/>
    </row>
    <row r="74">
      <c r="A74" s="1"/>
      <c r="B74" s="1"/>
      <c r="C74" s="1"/>
      <c r="D74" s="1"/>
      <c r="E74" s="1"/>
      <c r="F74" s="1"/>
      <c r="G74" s="1"/>
    </row>
    <row r="75">
      <c r="A75" s="1"/>
      <c r="B75" s="1"/>
      <c r="C75" s="1"/>
      <c r="D75" s="1"/>
      <c r="E75" s="1"/>
      <c r="F75" s="1"/>
      <c r="G75" s="1"/>
    </row>
    <row r="76">
      <c r="A76" s="1"/>
      <c r="B76" s="1"/>
      <c r="C76" s="1"/>
      <c r="D76" s="1"/>
      <c r="E76" s="1"/>
      <c r="F76" s="1"/>
      <c r="G76" s="1"/>
    </row>
    <row r="77">
      <c r="A77" s="1"/>
      <c r="B77" s="1"/>
      <c r="C77" s="1"/>
      <c r="D77" s="1"/>
      <c r="E77" s="1"/>
      <c r="F77" s="1"/>
      <c r="G77" s="1"/>
    </row>
    <row r="78">
      <c r="A78" s="1"/>
      <c r="B78" s="1"/>
      <c r="C78" s="1"/>
      <c r="D78" s="1"/>
      <c r="E78" s="1"/>
      <c r="F78" s="1"/>
      <c r="G78" s="1"/>
    </row>
    <row r="79">
      <c r="A79" s="1"/>
      <c r="B79" s="1"/>
      <c r="C79" s="1"/>
      <c r="D79" s="1"/>
      <c r="E79" s="1"/>
      <c r="F79" s="1"/>
      <c r="G79" s="1"/>
    </row>
    <row r="80">
      <c r="A80" s="1"/>
      <c r="B80" s="1"/>
      <c r="C80" s="1"/>
      <c r="D80" s="1"/>
      <c r="E80" s="1"/>
      <c r="F80" s="1"/>
      <c r="G80" s="1"/>
    </row>
    <row r="81">
      <c r="A81" s="1"/>
      <c r="B81" s="1"/>
      <c r="C81" s="1"/>
      <c r="D81" s="1"/>
      <c r="E81" s="1"/>
      <c r="F81" s="1"/>
      <c r="G81" s="1"/>
    </row>
    <row r="82">
      <c r="A82" s="1"/>
      <c r="B82" s="1"/>
      <c r="C82" s="1"/>
      <c r="D82" s="1"/>
      <c r="E82" s="1"/>
      <c r="F82" s="1"/>
      <c r="G82" s="1"/>
    </row>
    <row r="83">
      <c r="A83" s="1"/>
      <c r="B83" s="1"/>
      <c r="C83" s="1"/>
      <c r="D83" s="1"/>
      <c r="E83" s="1"/>
      <c r="F83" s="1"/>
      <c r="G83" s="1"/>
    </row>
    <row r="84">
      <c r="A84" s="1"/>
      <c r="B84" s="1"/>
      <c r="C84" s="1"/>
      <c r="D84" s="1"/>
      <c r="E84" s="1"/>
      <c r="F84" s="1"/>
      <c r="G84" s="1"/>
    </row>
    <row r="85">
      <c r="A85" s="1"/>
      <c r="B85" s="31"/>
      <c r="C85" s="32"/>
      <c r="D85" s="32"/>
      <c r="E85" s="32"/>
      <c r="F85" s="32"/>
      <c r="G85" s="1"/>
    </row>
    <row r="86">
      <c r="A86" s="1"/>
      <c r="B86" s="25"/>
      <c r="C86" s="35"/>
      <c r="D86" s="1"/>
      <c r="E86" s="1"/>
      <c r="F86" s="1"/>
      <c r="G86" s="1"/>
    </row>
    <row r="87">
      <c r="A87" s="1"/>
      <c r="B87" s="25"/>
      <c r="C87" s="25"/>
      <c r="D87" s="1"/>
      <c r="E87" s="1"/>
      <c r="F87" s="1"/>
      <c r="G87" s="1"/>
    </row>
    <row r="88">
      <c r="A88" s="1"/>
      <c r="B88" s="25"/>
      <c r="C88" s="36"/>
      <c r="D88" s="1"/>
      <c r="E88" s="1"/>
      <c r="F88" s="1"/>
      <c r="G88" s="1"/>
    </row>
    <row r="89">
      <c r="A89" s="1"/>
      <c r="B89" s="28"/>
      <c r="C89" s="37"/>
      <c r="D89" s="38"/>
      <c r="E89" s="1"/>
      <c r="F89" s="1"/>
      <c r="G89" s="1"/>
    </row>
    <row r="90">
      <c r="A90" s="1"/>
      <c r="B90" s="1"/>
      <c r="C90" s="1"/>
      <c r="D90" s="1"/>
      <c r="E90" s="1"/>
      <c r="F90" s="1"/>
      <c r="G90" s="1"/>
    </row>
    <row r="91">
      <c r="A91" s="1"/>
      <c r="B91" s="1"/>
      <c r="C91" s="1"/>
      <c r="D91" s="1"/>
      <c r="E91" s="1"/>
      <c r="F91" s="1"/>
      <c r="G91" s="1"/>
    </row>
    <row r="92">
      <c r="A92" s="1"/>
      <c r="B92" s="1"/>
      <c r="C92" s="1"/>
      <c r="D92" s="1"/>
      <c r="E92" s="1"/>
      <c r="F92" s="1"/>
      <c r="G92" s="1"/>
    </row>
    <row r="93">
      <c r="A93" s="1"/>
      <c r="B93" s="1"/>
      <c r="C93" s="1"/>
      <c r="D93" s="1"/>
      <c r="E93" s="1"/>
      <c r="F93" s="1"/>
      <c r="G93" s="1"/>
    </row>
    <row r="94">
      <c r="A94" s="1"/>
      <c r="B94" s="1"/>
      <c r="C94" s="1"/>
      <c r="D94" s="1"/>
      <c r="E94" s="1"/>
      <c r="F94" s="1"/>
      <c r="G94" s="1"/>
    </row>
    <row r="95">
      <c r="A95" s="1"/>
      <c r="B95" s="1"/>
      <c r="C95" s="1"/>
      <c r="D95" s="1"/>
      <c r="E95" s="1"/>
      <c r="F95" s="1"/>
      <c r="G95" s="1"/>
    </row>
    <row r="96">
      <c r="A96" s="1"/>
      <c r="B96" s="1"/>
      <c r="C96" s="1"/>
      <c r="D96" s="1"/>
      <c r="E96" s="1"/>
      <c r="F96" s="1"/>
      <c r="G96" s="1"/>
    </row>
    <row r="97">
      <c r="A97" s="1"/>
      <c r="B97" s="1"/>
      <c r="C97" s="1"/>
      <c r="D97" s="1"/>
      <c r="E97" s="1"/>
      <c r="F97" s="1"/>
      <c r="G97" s="1"/>
    </row>
    <row r="98">
      <c r="A98" s="1"/>
      <c r="B98" s="1"/>
      <c r="C98" s="1"/>
      <c r="D98" s="1"/>
      <c r="E98" s="1"/>
      <c r="F98" s="1"/>
      <c r="G98" s="1"/>
    </row>
    <row r="99">
      <c r="A99" s="1"/>
      <c r="B99" s="1"/>
      <c r="C99" s="1"/>
      <c r="D99" s="1"/>
      <c r="E99" s="1"/>
      <c r="F99" s="1"/>
      <c r="G99" s="1"/>
    </row>
    <row r="100">
      <c r="A100" s="1"/>
      <c r="B100" s="1"/>
      <c r="C100" s="1"/>
      <c r="D100" s="1"/>
      <c r="E100" s="1"/>
      <c r="F100" s="1"/>
      <c r="G100" s="1"/>
    </row>
    <row r="101">
      <c r="A101" s="1"/>
      <c r="B101" s="1"/>
      <c r="C101" s="1"/>
      <c r="D101" s="1"/>
      <c r="E101" s="1"/>
      <c r="F101" s="1"/>
      <c r="G101" s="1"/>
    </row>
    <row r="102">
      <c r="A102" s="1"/>
      <c r="B102" s="1"/>
      <c r="C102" s="1"/>
      <c r="D102" s="1"/>
      <c r="E102" s="1"/>
      <c r="F102" s="1"/>
      <c r="G102" s="1"/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6" max="6" width="21.63"/>
    <col customWidth="1" min="7" max="7" width="7.88"/>
    <col customWidth="1" min="8" max="8" width="7.25"/>
    <col customWidth="1" min="9" max="9" width="23.88"/>
  </cols>
  <sheetData>
    <row r="1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13</v>
      </c>
    </row>
    <row r="2">
      <c r="A2" s="39" t="s">
        <v>14</v>
      </c>
      <c r="B2" s="39" t="s">
        <v>15</v>
      </c>
      <c r="C2" s="40">
        <v>12536.99</v>
      </c>
      <c r="D2" s="40">
        <v>25073.98</v>
      </c>
      <c r="E2" s="40">
        <v>37610.97</v>
      </c>
      <c r="F2" s="40">
        <v>50147.96</v>
      </c>
      <c r="G2" s="40">
        <v>62684.950000000004</v>
      </c>
      <c r="H2" s="40">
        <v>75221.94</v>
      </c>
      <c r="I2" s="40">
        <v>87758.93000000002</v>
      </c>
      <c r="J2" s="40">
        <v>170295.92000000004</v>
      </c>
      <c r="K2" s="40">
        <v>182832.91000000003</v>
      </c>
      <c r="L2" s="40">
        <v>195369.90000000002</v>
      </c>
      <c r="M2" s="40">
        <v>207906.89000000004</v>
      </c>
      <c r="N2" s="40">
        <v>1209498.8900000001</v>
      </c>
    </row>
    <row r="3">
      <c r="A3" s="39"/>
      <c r="B3" s="39" t="s">
        <v>16</v>
      </c>
      <c r="C3" s="40">
        <v>353537.92</v>
      </c>
      <c r="D3" s="40">
        <v>707075.84</v>
      </c>
      <c r="E3" s="40">
        <v>1060613.76</v>
      </c>
      <c r="F3" s="40">
        <v>1414151.68</v>
      </c>
      <c r="G3" s="40">
        <v>1767689.6</v>
      </c>
      <c r="H3" s="40">
        <v>2121227.52</v>
      </c>
      <c r="I3" s="40">
        <v>2474765.44</v>
      </c>
      <c r="J3" s="40">
        <v>2828303.36</v>
      </c>
      <c r="K3" s="40">
        <v>3181841.28</v>
      </c>
      <c r="L3" s="40">
        <v>3535379.2</v>
      </c>
      <c r="M3" s="40">
        <v>3888917.12</v>
      </c>
      <c r="N3" s="40">
        <v>4242455.04</v>
      </c>
    </row>
    <row r="4">
      <c r="A4" s="39"/>
      <c r="B4" s="39" t="s">
        <v>17</v>
      </c>
      <c r="C4" s="40">
        <v>59173.25</v>
      </c>
      <c r="D4" s="40">
        <v>118346.5</v>
      </c>
      <c r="E4" s="40">
        <v>177519.75</v>
      </c>
      <c r="F4" s="40">
        <v>236693.0</v>
      </c>
      <c r="G4" s="40">
        <v>295866.25</v>
      </c>
      <c r="H4" s="40">
        <v>355039.50000000006</v>
      </c>
      <c r="I4" s="40">
        <v>414212.75000000006</v>
      </c>
      <c r="J4" s="40">
        <v>473386.00000000006</v>
      </c>
      <c r="K4" s="40">
        <v>532559.2500000001</v>
      </c>
      <c r="L4" s="40">
        <v>591732.5</v>
      </c>
      <c r="M4" s="40">
        <v>650905.7500000001</v>
      </c>
      <c r="N4" s="40">
        <v>710079.0000000002</v>
      </c>
    </row>
    <row r="5">
      <c r="A5" s="39" t="s">
        <v>18</v>
      </c>
      <c r="B5" s="39" t="s">
        <v>15</v>
      </c>
      <c r="C5" s="40">
        <v>93177.90999999999</v>
      </c>
      <c r="D5" s="40">
        <v>98163.93</v>
      </c>
      <c r="E5" s="40">
        <v>98163.93</v>
      </c>
      <c r="F5" s="40">
        <v>498532.10000000003</v>
      </c>
      <c r="G5" s="40">
        <v>504548.82</v>
      </c>
      <c r="H5" s="40">
        <v>506428.25</v>
      </c>
      <c r="I5" s="40">
        <v>534942.76</v>
      </c>
      <c r="J5" s="40">
        <v>535366.38</v>
      </c>
      <c r="K5" s="40">
        <v>627899.8300000001</v>
      </c>
      <c r="L5" s="40">
        <v>0.0</v>
      </c>
      <c r="M5" s="40">
        <v>0.0</v>
      </c>
      <c r="N5" s="40">
        <v>0.0</v>
      </c>
    </row>
    <row r="6">
      <c r="A6" s="39"/>
      <c r="B6" s="39" t="s">
        <v>16</v>
      </c>
      <c r="C6" s="40">
        <v>179340.29</v>
      </c>
      <c r="D6" s="40">
        <v>358336.99</v>
      </c>
      <c r="E6" s="40">
        <v>625196.02</v>
      </c>
      <c r="F6" s="40">
        <v>1306608.67</v>
      </c>
      <c r="G6" s="40">
        <v>1663037.64</v>
      </c>
      <c r="H6" s="40">
        <v>1924950.23</v>
      </c>
      <c r="I6" s="40">
        <v>2239880.94</v>
      </c>
      <c r="J6" s="40">
        <v>2559803.77</v>
      </c>
      <c r="K6" s="40">
        <v>3076590.36</v>
      </c>
      <c r="L6" s="40">
        <v>0.0</v>
      </c>
      <c r="M6" s="40">
        <v>0.0</v>
      </c>
      <c r="N6" s="40">
        <v>0.0</v>
      </c>
    </row>
    <row r="7">
      <c r="A7" s="39"/>
      <c r="B7" s="39" t="s">
        <v>17</v>
      </c>
      <c r="C7" s="40">
        <v>55486.49</v>
      </c>
      <c r="D7" s="40">
        <v>120495.08000000002</v>
      </c>
      <c r="E7" s="40">
        <v>153926.90000000002</v>
      </c>
      <c r="F7" s="40">
        <v>184890.01</v>
      </c>
      <c r="G7" s="40">
        <v>367472.06</v>
      </c>
      <c r="H7" s="40">
        <v>614160.39</v>
      </c>
      <c r="I7" s="40">
        <v>745390.19</v>
      </c>
      <c r="J7" s="40">
        <v>787959.72</v>
      </c>
      <c r="K7" s="40">
        <v>815759.75</v>
      </c>
      <c r="L7" s="40">
        <v>0.0</v>
      </c>
      <c r="M7" s="40">
        <v>0.0</v>
      </c>
      <c r="N7" s="40">
        <v>0.0</v>
      </c>
    </row>
    <row r="9">
      <c r="A9" s="39" t="s">
        <v>0</v>
      </c>
      <c r="B9" s="39" t="s">
        <v>1</v>
      </c>
      <c r="C9" s="41" t="s">
        <v>2</v>
      </c>
      <c r="D9" s="41" t="s">
        <v>3</v>
      </c>
      <c r="E9" s="41" t="s">
        <v>4</v>
      </c>
      <c r="F9" s="41" t="s">
        <v>5</v>
      </c>
      <c r="G9" s="41" t="s">
        <v>6</v>
      </c>
      <c r="H9" s="41" t="s">
        <v>7</v>
      </c>
      <c r="I9" s="41" t="s">
        <v>8</v>
      </c>
      <c r="J9" s="41" t="s">
        <v>9</v>
      </c>
      <c r="K9" s="41" t="s">
        <v>10</v>
      </c>
      <c r="L9" s="41" t="s">
        <v>11</v>
      </c>
      <c r="M9" s="41" t="s">
        <v>12</v>
      </c>
      <c r="N9" s="41" t="s">
        <v>13</v>
      </c>
    </row>
    <row r="10">
      <c r="A10" s="39" t="s">
        <v>14</v>
      </c>
      <c r="B10" s="39" t="s">
        <v>15</v>
      </c>
      <c r="C10" s="42">
        <v>12536.99</v>
      </c>
      <c r="D10" s="42">
        <v>25073.98</v>
      </c>
      <c r="E10" s="42">
        <v>37610.97</v>
      </c>
      <c r="F10" s="42">
        <v>50147.96</v>
      </c>
      <c r="G10" s="42">
        <v>62684.950000000004</v>
      </c>
      <c r="H10" s="42">
        <v>75221.94</v>
      </c>
      <c r="I10" s="42">
        <v>87758.93000000002</v>
      </c>
      <c r="J10" s="42">
        <v>3111234.9300000006</v>
      </c>
      <c r="K10" s="42">
        <v>3123771.92</v>
      </c>
      <c r="L10" s="42">
        <v>3136308.91</v>
      </c>
      <c r="M10" s="42">
        <v>3148845.9000000004</v>
      </c>
      <c r="N10" s="42">
        <v>3161382.8899999997</v>
      </c>
    </row>
    <row r="11">
      <c r="A11" s="39" t="s">
        <v>14</v>
      </c>
      <c r="B11" s="39" t="s">
        <v>16</v>
      </c>
      <c r="C11" s="42">
        <v>353537.92</v>
      </c>
      <c r="D11" s="42">
        <v>707075.84</v>
      </c>
      <c r="E11" s="42">
        <v>1060613.76</v>
      </c>
      <c r="F11" s="42">
        <v>1414151.68</v>
      </c>
      <c r="G11" s="42">
        <v>1767689.6</v>
      </c>
      <c r="H11" s="42">
        <v>2121227.52</v>
      </c>
      <c r="I11" s="42">
        <v>2474765.44</v>
      </c>
      <c r="J11" s="42">
        <v>2828303.36</v>
      </c>
      <c r="K11" s="42">
        <v>3181841.28</v>
      </c>
      <c r="L11" s="42">
        <v>3535379.2</v>
      </c>
      <c r="M11" s="42">
        <v>3888917.12</v>
      </c>
      <c r="N11" s="42">
        <v>4242455.04</v>
      </c>
    </row>
    <row r="12">
      <c r="A12" s="39" t="s">
        <v>14</v>
      </c>
      <c r="B12" s="39" t="s">
        <v>17</v>
      </c>
      <c r="C12" s="42">
        <v>59173.25</v>
      </c>
      <c r="D12" s="42">
        <v>118346.5</v>
      </c>
      <c r="E12" s="42">
        <v>177519.75</v>
      </c>
      <c r="F12" s="42">
        <v>236693.0</v>
      </c>
      <c r="G12" s="42">
        <v>295866.25</v>
      </c>
      <c r="H12" s="42">
        <v>355039.50000000006</v>
      </c>
      <c r="I12" s="42">
        <v>414212.75000000006</v>
      </c>
      <c r="J12" s="42">
        <v>473386.00000000006</v>
      </c>
      <c r="K12" s="42">
        <v>532559.2500000001</v>
      </c>
      <c r="L12" s="42">
        <v>591732.5</v>
      </c>
      <c r="M12" s="42">
        <v>650905.7500000001</v>
      </c>
      <c r="N12" s="42">
        <v>710079.0000000002</v>
      </c>
    </row>
    <row r="13">
      <c r="A13" s="39" t="s">
        <v>18</v>
      </c>
      <c r="B13" s="39" t="s">
        <v>15</v>
      </c>
      <c r="C13" s="42">
        <v>93177.90999999999</v>
      </c>
      <c r="D13" s="42">
        <v>98163.93</v>
      </c>
      <c r="E13" s="42">
        <v>98163.93</v>
      </c>
      <c r="F13" s="42">
        <v>498532.10000000003</v>
      </c>
      <c r="G13" s="42">
        <v>504548.82</v>
      </c>
      <c r="H13" s="42">
        <v>506428.25</v>
      </c>
      <c r="I13" s="42">
        <v>534942.76</v>
      </c>
      <c r="J13" s="42">
        <v>535366.38</v>
      </c>
      <c r="K13" s="42">
        <v>627899.8300000001</v>
      </c>
      <c r="L13" s="42"/>
      <c r="M13" s="42"/>
      <c r="N13" s="42"/>
    </row>
    <row r="14">
      <c r="A14" s="39" t="s">
        <v>18</v>
      </c>
      <c r="B14" s="39" t="s">
        <v>16</v>
      </c>
      <c r="C14" s="42">
        <v>179340.29</v>
      </c>
      <c r="D14" s="42">
        <v>358336.99</v>
      </c>
      <c r="E14" s="42">
        <v>625196.02</v>
      </c>
      <c r="F14" s="42">
        <v>1306608.67</v>
      </c>
      <c r="G14" s="42">
        <v>1663037.64</v>
      </c>
      <c r="H14" s="42">
        <v>1924950.23</v>
      </c>
      <c r="I14" s="42">
        <v>2239880.94</v>
      </c>
      <c r="J14" s="42">
        <v>2559803.77</v>
      </c>
      <c r="K14" s="42">
        <v>3076590.36</v>
      </c>
      <c r="L14" s="42"/>
      <c r="M14" s="42"/>
      <c r="N14" s="42"/>
    </row>
    <row r="15">
      <c r="A15" s="39" t="s">
        <v>18</v>
      </c>
      <c r="B15" s="39" t="s">
        <v>17</v>
      </c>
      <c r="C15" s="42">
        <v>55486.49</v>
      </c>
      <c r="D15" s="42">
        <v>120495.08000000002</v>
      </c>
      <c r="E15" s="42">
        <v>153926.90000000002</v>
      </c>
      <c r="F15" s="42">
        <v>184890.01</v>
      </c>
      <c r="G15" s="42">
        <v>367472.06</v>
      </c>
      <c r="H15" s="42">
        <v>614160.39</v>
      </c>
      <c r="I15" s="42">
        <v>745390.19</v>
      </c>
      <c r="J15" s="42">
        <v>787959.72</v>
      </c>
      <c r="K15" s="42">
        <v>815759.75</v>
      </c>
      <c r="L15" s="42"/>
      <c r="M15" s="42"/>
      <c r="N15" s="42"/>
    </row>
    <row r="30">
      <c r="A30" s="43" t="s">
        <v>1</v>
      </c>
      <c r="B30" s="43" t="s">
        <v>19</v>
      </c>
      <c r="C30" s="43" t="s">
        <v>14</v>
      </c>
      <c r="D30" s="43" t="s">
        <v>18</v>
      </c>
      <c r="F30" s="7" t="s">
        <v>1</v>
      </c>
      <c r="G30" s="7" t="s">
        <v>0</v>
      </c>
      <c r="H30" s="7" t="s">
        <v>20</v>
      </c>
      <c r="I30" s="8" t="s">
        <v>21</v>
      </c>
      <c r="J30" s="8" t="s">
        <v>22</v>
      </c>
      <c r="K30" s="44"/>
    </row>
    <row r="31">
      <c r="A31" s="39" t="s">
        <v>17</v>
      </c>
      <c r="B31" s="45">
        <f>K4</f>
        <v>532559.25</v>
      </c>
      <c r="C31" s="45">
        <f>N4-B31</f>
        <v>177519.75</v>
      </c>
      <c r="D31" s="46">
        <f>K15</f>
        <v>815759.75</v>
      </c>
      <c r="F31" s="10" t="str">
        <f>A31</f>
        <v>1 Local Revenue</v>
      </c>
      <c r="G31" s="11" t="s">
        <v>14</v>
      </c>
      <c r="H31" s="10" t="str">
        <f>TEXT((B31+C31)/1000,"$#,##0k")</f>
        <v>$710k</v>
      </c>
      <c r="I31" s="10" t="str">
        <f>IFERROR(__xludf.DUMMYFUNCTION("SPARKLINE(B31:C31,{""charttype"",""bar"";""max"",5000000;""color1"",""#259AD6"";""color2"",""#46B978""})"),"")</f>
        <v/>
      </c>
      <c r="J31" s="10"/>
      <c r="K31" s="47"/>
    </row>
    <row r="32">
      <c r="D32" s="48"/>
      <c r="F32" s="10"/>
      <c r="G32" s="11" t="s">
        <v>18</v>
      </c>
      <c r="H32" s="10" t="str">
        <f>TEXT(D31/1000,"$#,##0k")</f>
        <v>$816k</v>
      </c>
      <c r="I32" s="10" t="str">
        <f>IFERROR(__xludf.DUMMYFUNCTION("SPARKLINE(D31,{""charttype"",""bar"";""max"",5000000;""color1"",""#FBAF17""})"),"")</f>
        <v/>
      </c>
      <c r="J32" s="10" t="str">
        <f>TEXT(D31/(B31),"00.0%") &amp; TEXT(D31/(B31+C31)," (00.0%)") </f>
        <v>153.2% (114.9%)</v>
      </c>
    </row>
    <row r="33">
      <c r="A33" s="39" t="s">
        <v>16</v>
      </c>
      <c r="B33" s="45">
        <f>K3</f>
        <v>3181841.28</v>
      </c>
      <c r="C33" s="45">
        <f>N3-B33</f>
        <v>1060613.76</v>
      </c>
      <c r="D33" s="46">
        <f>K14</f>
        <v>3076590.36</v>
      </c>
      <c r="F33" s="12" t="str">
        <f>A33</f>
        <v>3 State Revenue</v>
      </c>
      <c r="G33" s="13" t="s">
        <v>14</v>
      </c>
      <c r="H33" s="12" t="str">
        <f>TEXT((B33+C33)/1000,"$#,##0k")</f>
        <v>$4,242k</v>
      </c>
      <c r="I33" s="12" t="str">
        <f>IFERROR(__xludf.DUMMYFUNCTION("SPARKLINE(B33:C33,{""charttype"",""bar"";""max"",5000000;""color1"",""#259AD6"";""color2"",""#46B978""})"),"")</f>
        <v/>
      </c>
      <c r="J33" s="12"/>
      <c r="K33" s="47"/>
    </row>
    <row r="34">
      <c r="B34" s="48"/>
      <c r="C34" s="48"/>
      <c r="D34" s="48"/>
      <c r="F34" s="10"/>
      <c r="G34" s="11" t="s">
        <v>18</v>
      </c>
      <c r="H34" s="10" t="str">
        <f>TEXT(D33/1000,"$#,##0k")</f>
        <v>$3,077k</v>
      </c>
      <c r="I34" s="10" t="str">
        <f>IFERROR(__xludf.DUMMYFUNCTION("SPARKLINE(D33,{""charttype"",""bar"";""max"",5000000;""color1"",""#FBAF17""})"),"")</f>
        <v/>
      </c>
      <c r="J34" s="10" t="str">
        <f>TEXT(D33/(B33),"00.0%") &amp; TEXT(D33/(B33+C33)," (00.0%)") </f>
        <v>96.7% (72.5%)</v>
      </c>
    </row>
    <row r="35">
      <c r="A35" s="39" t="s">
        <v>15</v>
      </c>
      <c r="B35" s="45">
        <f>K2</f>
        <v>182832.91</v>
      </c>
      <c r="C35" s="45">
        <f>N2-B35</f>
        <v>1026665.98</v>
      </c>
      <c r="D35" s="46">
        <f>K13</f>
        <v>627899.83</v>
      </c>
      <c r="F35" s="12" t="str">
        <f>A35</f>
        <v>4 Federal Revenue</v>
      </c>
      <c r="G35" s="13" t="s">
        <v>14</v>
      </c>
      <c r="H35" s="12" t="str">
        <f>TEXT((B35+C35)/1000,"$#,##0k")</f>
        <v>$1,209k</v>
      </c>
      <c r="I35" s="12" t="str">
        <f>IFERROR(__xludf.DUMMYFUNCTION("SPARKLINE(B35:C35,{""charttype"",""bar"";""max"",5000000;""color1"",""#259AD6"";""color2"",""#46B978""})"),"")</f>
        <v/>
      </c>
      <c r="J35" s="12"/>
      <c r="K35" s="47"/>
    </row>
    <row r="36">
      <c r="F36" s="10"/>
      <c r="G36" s="11" t="s">
        <v>18</v>
      </c>
      <c r="H36" s="10" t="str">
        <f>TEXT(D35/1000,"$#,##0k")</f>
        <v>$628k</v>
      </c>
      <c r="I36" s="10" t="str">
        <f>IFERROR(__xludf.DUMMYFUNCTION("SPARKLINE(D35,{""charttype"",""bar"";""max"",5000000;""color1"",""#FBAF17""})"),"")</f>
        <v/>
      </c>
      <c r="J36" s="10" t="str">
        <f>TEXT(D35/(B35),"00.0%") &amp; TEXT(D35/(B35+C35)," (00.0%)") </f>
        <v>343.4% (51.9%)</v>
      </c>
    </row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1">
      <c r="A61" s="39" t="s">
        <v>0</v>
      </c>
      <c r="B61" s="39" t="s">
        <v>1</v>
      </c>
      <c r="C61" s="39" t="s">
        <v>2</v>
      </c>
      <c r="D61" s="39" t="s">
        <v>3</v>
      </c>
      <c r="E61" s="39" t="s">
        <v>4</v>
      </c>
      <c r="F61" s="39" t="s">
        <v>5</v>
      </c>
      <c r="G61" s="39" t="s">
        <v>6</v>
      </c>
      <c r="H61" s="39" t="s">
        <v>7</v>
      </c>
      <c r="I61" s="39" t="s">
        <v>8</v>
      </c>
      <c r="J61" s="39" t="s">
        <v>9</v>
      </c>
      <c r="K61" s="39" t="s">
        <v>10</v>
      </c>
      <c r="L61" s="39" t="s">
        <v>11</v>
      </c>
      <c r="M61" s="39" t="s">
        <v>12</v>
      </c>
      <c r="N61" s="39" t="s">
        <v>13</v>
      </c>
    </row>
    <row r="62">
      <c r="A62" s="39" t="s">
        <v>14</v>
      </c>
      <c r="B62" s="39" t="s">
        <v>23</v>
      </c>
      <c r="C62" s="42">
        <v>91567.25</v>
      </c>
      <c r="D62" s="42">
        <v>183134.5</v>
      </c>
      <c r="E62" s="42">
        <v>274701.75</v>
      </c>
      <c r="F62" s="42">
        <v>366269.0</v>
      </c>
      <c r="G62" s="42">
        <v>457836.25</v>
      </c>
      <c r="H62" s="42">
        <v>549403.5</v>
      </c>
      <c r="I62" s="42">
        <v>640970.75</v>
      </c>
      <c r="J62" s="42">
        <v>732538.0</v>
      </c>
      <c r="K62" s="42">
        <v>824105.25</v>
      </c>
      <c r="L62" s="42">
        <v>915672.5</v>
      </c>
      <c r="M62" s="42">
        <v>1007239.75</v>
      </c>
      <c r="N62" s="42">
        <v>1098807.0</v>
      </c>
    </row>
    <row r="63">
      <c r="A63" s="39" t="s">
        <v>14</v>
      </c>
      <c r="B63" s="39" t="s">
        <v>24</v>
      </c>
      <c r="C63" s="42">
        <v>26490.49</v>
      </c>
      <c r="D63" s="42">
        <v>52980.98</v>
      </c>
      <c r="E63" s="42">
        <v>79471.47000000002</v>
      </c>
      <c r="F63" s="42">
        <v>105961.96</v>
      </c>
      <c r="G63" s="42">
        <v>132452.45</v>
      </c>
      <c r="H63" s="42">
        <v>158942.94</v>
      </c>
      <c r="I63" s="42">
        <v>185433.42999999996</v>
      </c>
      <c r="J63" s="42">
        <v>211923.91999999998</v>
      </c>
      <c r="K63" s="42">
        <v>238414.40999999995</v>
      </c>
      <c r="L63" s="42">
        <v>264904.89999999997</v>
      </c>
      <c r="M63" s="42">
        <v>291395.39</v>
      </c>
      <c r="N63" s="42">
        <v>317885.88</v>
      </c>
    </row>
    <row r="64">
      <c r="A64" s="39" t="s">
        <v>14</v>
      </c>
      <c r="B64" s="39" t="s">
        <v>25</v>
      </c>
      <c r="C64" s="42">
        <v>0.0</v>
      </c>
      <c r="D64" s="42">
        <v>601.0</v>
      </c>
      <c r="E64" s="42">
        <v>10136.0</v>
      </c>
      <c r="F64" s="42">
        <v>10271.0</v>
      </c>
      <c r="G64" s="42">
        <v>10876.0</v>
      </c>
      <c r="H64" s="42">
        <v>13181.0</v>
      </c>
      <c r="I64" s="42">
        <v>13181.0</v>
      </c>
      <c r="J64" s="42">
        <v>13786.0</v>
      </c>
      <c r="K64" s="42">
        <v>13921.0</v>
      </c>
      <c r="L64" s="42">
        <v>14056.0</v>
      </c>
      <c r="M64" s="42">
        <v>14191.0</v>
      </c>
      <c r="N64" s="42">
        <v>14632.0</v>
      </c>
    </row>
    <row r="65">
      <c r="A65" s="39" t="s">
        <v>14</v>
      </c>
      <c r="B65" s="39" t="s">
        <v>26</v>
      </c>
      <c r="C65" s="42">
        <v>57896.08</v>
      </c>
      <c r="D65" s="42">
        <v>115792.16</v>
      </c>
      <c r="E65" s="42">
        <v>173688.24</v>
      </c>
      <c r="F65" s="42">
        <v>231584.32</v>
      </c>
      <c r="G65" s="42">
        <v>289480.4</v>
      </c>
      <c r="H65" s="42">
        <v>347376.48000000004</v>
      </c>
      <c r="I65" s="42">
        <v>405272.56000000006</v>
      </c>
      <c r="J65" s="42">
        <v>463168.6400000001</v>
      </c>
      <c r="K65" s="42">
        <v>521064.7200000001</v>
      </c>
      <c r="L65" s="42">
        <v>578960.8</v>
      </c>
      <c r="M65" s="42">
        <v>636856.88</v>
      </c>
      <c r="N65" s="42">
        <v>694752.96</v>
      </c>
    </row>
    <row r="66">
      <c r="A66" s="39" t="s">
        <v>14</v>
      </c>
      <c r="B66" s="39" t="s">
        <v>27</v>
      </c>
      <c r="C66" s="42">
        <v>315.24</v>
      </c>
      <c r="D66" s="42">
        <v>532551.7999999999</v>
      </c>
      <c r="E66" s="42">
        <v>532867.0399999999</v>
      </c>
      <c r="F66" s="42">
        <v>533182.2799999999</v>
      </c>
      <c r="G66" s="42">
        <v>533497.5199999999</v>
      </c>
      <c r="H66" s="42">
        <v>533812.7599999999</v>
      </c>
      <c r="I66" s="42">
        <v>534128.0</v>
      </c>
      <c r="J66" s="42">
        <v>534443.24</v>
      </c>
      <c r="K66" s="42">
        <v>534758.48</v>
      </c>
      <c r="L66" s="42">
        <v>535073.72</v>
      </c>
      <c r="M66" s="42">
        <v>535388.96</v>
      </c>
      <c r="N66" s="42">
        <v>610404.2</v>
      </c>
    </row>
    <row r="67">
      <c r="A67" s="39" t="s">
        <v>14</v>
      </c>
      <c r="B67" s="39" t="s">
        <v>28</v>
      </c>
      <c r="C67" s="42">
        <v>215113.84</v>
      </c>
      <c r="D67" s="42">
        <v>399910.94999999995</v>
      </c>
      <c r="E67" s="42">
        <v>520638.91</v>
      </c>
      <c r="F67" s="42">
        <v>639694.17</v>
      </c>
      <c r="G67" s="42">
        <v>752689.53</v>
      </c>
      <c r="H67" s="42">
        <v>880684.8899999999</v>
      </c>
      <c r="I67" s="42">
        <v>1031930.2999999999</v>
      </c>
      <c r="J67" s="42">
        <v>1146743.62</v>
      </c>
      <c r="K67" s="42">
        <v>1261556.9400000002</v>
      </c>
      <c r="L67" s="42">
        <v>1376370.26</v>
      </c>
      <c r="M67" s="42">
        <v>1637862.4600000004</v>
      </c>
      <c r="N67" s="42">
        <v>1752907.96</v>
      </c>
    </row>
    <row r="68">
      <c r="A68" s="39" t="s">
        <v>14</v>
      </c>
      <c r="B68" s="39" t="s">
        <v>29</v>
      </c>
      <c r="C68" s="42">
        <v>32626.11</v>
      </c>
      <c r="D68" s="42">
        <v>64551.17</v>
      </c>
      <c r="E68" s="42">
        <v>96476.23</v>
      </c>
      <c r="F68" s="42">
        <v>128401.29000000001</v>
      </c>
      <c r="G68" s="42">
        <v>160326.35</v>
      </c>
      <c r="H68" s="42">
        <v>192251.41</v>
      </c>
      <c r="I68" s="42">
        <v>224870.52</v>
      </c>
      <c r="J68" s="42">
        <v>256795.58000000002</v>
      </c>
      <c r="K68" s="42">
        <v>288720.64</v>
      </c>
      <c r="L68" s="42">
        <v>320645.7</v>
      </c>
      <c r="M68" s="42">
        <v>352570.76</v>
      </c>
      <c r="N68" s="42">
        <v>384495.82000000007</v>
      </c>
    </row>
    <row r="69">
      <c r="A69" s="39" t="s">
        <v>14</v>
      </c>
      <c r="B69" s="39" t="s">
        <v>30</v>
      </c>
      <c r="C69" s="42">
        <v>85908.98999999999</v>
      </c>
      <c r="D69" s="42">
        <v>215662.57</v>
      </c>
      <c r="E69" s="42">
        <v>293294.75</v>
      </c>
      <c r="F69" s="42">
        <v>351301.92999999993</v>
      </c>
      <c r="G69" s="42">
        <v>413929.11000000004</v>
      </c>
      <c r="H69" s="42">
        <v>486936.29</v>
      </c>
      <c r="I69" s="42">
        <v>544943.47</v>
      </c>
      <c r="J69" s="42">
        <v>602950.65</v>
      </c>
      <c r="K69" s="42">
        <v>664287.83</v>
      </c>
      <c r="L69" s="42">
        <v>722295.01</v>
      </c>
      <c r="M69" s="42">
        <v>787223.3500000001</v>
      </c>
      <c r="N69" s="42">
        <v>850905.5299999999</v>
      </c>
    </row>
    <row r="70">
      <c r="A70" s="39" t="s">
        <v>14</v>
      </c>
      <c r="B70" s="39" t="s">
        <v>31</v>
      </c>
      <c r="C70" s="42">
        <v>729.33</v>
      </c>
      <c r="D70" s="42">
        <v>1458.66</v>
      </c>
      <c r="E70" s="42">
        <v>2187.99</v>
      </c>
      <c r="F70" s="42">
        <v>2917.32</v>
      </c>
      <c r="G70" s="42">
        <v>3646.65</v>
      </c>
      <c r="H70" s="42">
        <v>4375.98</v>
      </c>
      <c r="I70" s="42">
        <v>5105.3099999999995</v>
      </c>
      <c r="J70" s="42">
        <v>5834.639999999999</v>
      </c>
      <c r="K70" s="42">
        <v>6563.969999999999</v>
      </c>
      <c r="L70" s="42">
        <v>7293.299999999999</v>
      </c>
      <c r="M70" s="42">
        <v>8022.629999999999</v>
      </c>
      <c r="N70" s="42">
        <v>8751.96</v>
      </c>
    </row>
    <row r="71">
      <c r="A71" s="39" t="s">
        <v>18</v>
      </c>
      <c r="B71" s="39" t="s">
        <v>23</v>
      </c>
      <c r="C71" s="42">
        <v>72029.51</v>
      </c>
      <c r="D71" s="42">
        <v>142143.86</v>
      </c>
      <c r="E71" s="42">
        <v>211034.89999999997</v>
      </c>
      <c r="F71" s="42">
        <v>295536.75</v>
      </c>
      <c r="G71" s="42">
        <v>366348.43</v>
      </c>
      <c r="H71" s="42">
        <v>464560.53</v>
      </c>
      <c r="I71" s="42">
        <v>535275.9400000001</v>
      </c>
      <c r="J71" s="42">
        <v>602006.3700000001</v>
      </c>
      <c r="K71" s="42">
        <v>672136.6400000001</v>
      </c>
      <c r="L71" s="42"/>
      <c r="M71" s="42"/>
      <c r="N71" s="42"/>
    </row>
    <row r="72">
      <c r="A72" s="39" t="s">
        <v>18</v>
      </c>
      <c r="B72" s="39" t="s">
        <v>24</v>
      </c>
      <c r="C72" s="42">
        <v>17181.39</v>
      </c>
      <c r="D72" s="42">
        <v>38104.450000000004</v>
      </c>
      <c r="E72" s="42">
        <v>58391.67999999999</v>
      </c>
      <c r="F72" s="42">
        <v>82488.26000000001</v>
      </c>
      <c r="G72" s="42">
        <v>108767.63</v>
      </c>
      <c r="H72" s="42">
        <v>135149.88999999998</v>
      </c>
      <c r="I72" s="42">
        <v>150100.93000000002</v>
      </c>
      <c r="J72" s="42">
        <v>170446.37</v>
      </c>
      <c r="K72" s="42">
        <v>194582.66999999998</v>
      </c>
      <c r="L72" s="42"/>
      <c r="M72" s="42"/>
      <c r="N72" s="42"/>
    </row>
    <row r="73">
      <c r="A73" s="39" t="s">
        <v>18</v>
      </c>
      <c r="B73" s="39" t="s">
        <v>25</v>
      </c>
      <c r="C73" s="42">
        <v>45350.61</v>
      </c>
      <c r="D73" s="42">
        <v>45350.61</v>
      </c>
      <c r="E73" s="42">
        <v>45900.61</v>
      </c>
      <c r="F73" s="42">
        <v>49381.3</v>
      </c>
      <c r="G73" s="42">
        <v>52495.98</v>
      </c>
      <c r="H73" s="42">
        <v>58783.020000000004</v>
      </c>
      <c r="I73" s="42">
        <v>60919.32000000001</v>
      </c>
      <c r="J73" s="42">
        <v>63398.40000000001</v>
      </c>
      <c r="K73" s="42">
        <v>64029.51000000001</v>
      </c>
      <c r="L73" s="42"/>
      <c r="M73" s="42"/>
      <c r="N73" s="42"/>
    </row>
    <row r="74">
      <c r="A74" s="39" t="s">
        <v>18</v>
      </c>
      <c r="B74" s="39" t="s">
        <v>26</v>
      </c>
      <c r="C74" s="42">
        <v>19343.47</v>
      </c>
      <c r="D74" s="42">
        <v>118961.94</v>
      </c>
      <c r="E74" s="42">
        <v>196582.39</v>
      </c>
      <c r="F74" s="42">
        <v>265259.61</v>
      </c>
      <c r="G74" s="42">
        <v>402864.05</v>
      </c>
      <c r="H74" s="42">
        <v>402864.05</v>
      </c>
      <c r="I74" s="42">
        <v>540218.49</v>
      </c>
      <c r="J74" s="42">
        <v>541289.49</v>
      </c>
      <c r="K74" s="42">
        <v>610799.71</v>
      </c>
      <c r="L74" s="42"/>
      <c r="M74" s="42"/>
      <c r="N74" s="42"/>
    </row>
    <row r="75">
      <c r="A75" s="39" t="s">
        <v>18</v>
      </c>
      <c r="B75" s="39" t="s">
        <v>27</v>
      </c>
      <c r="C75" s="42">
        <v>99559.52</v>
      </c>
      <c r="D75" s="42">
        <v>177280.97999999998</v>
      </c>
      <c r="E75" s="42">
        <v>207792.11</v>
      </c>
      <c r="F75" s="42">
        <v>208958.66</v>
      </c>
      <c r="G75" s="42">
        <v>209660.88</v>
      </c>
      <c r="H75" s="42">
        <v>221127.2</v>
      </c>
      <c r="I75" s="42">
        <v>221458.65000000002</v>
      </c>
      <c r="J75" s="42">
        <v>229537.87000000002</v>
      </c>
      <c r="K75" s="42">
        <v>232401.42</v>
      </c>
      <c r="L75" s="42"/>
      <c r="M75" s="42"/>
      <c r="N75" s="42"/>
    </row>
    <row r="76">
      <c r="A76" s="39" t="s">
        <v>18</v>
      </c>
      <c r="B76" s="39" t="s">
        <v>28</v>
      </c>
      <c r="C76" s="42">
        <v>223808.08</v>
      </c>
      <c r="D76" s="42">
        <v>327240.72</v>
      </c>
      <c r="E76" s="42">
        <v>429190.08</v>
      </c>
      <c r="F76" s="42">
        <v>564248.9999999999</v>
      </c>
      <c r="G76" s="42">
        <v>683709.89</v>
      </c>
      <c r="H76" s="42">
        <v>832991.6900000002</v>
      </c>
      <c r="I76" s="42">
        <v>946258.79</v>
      </c>
      <c r="J76" s="42">
        <v>1096124.26</v>
      </c>
      <c r="K76" s="42">
        <v>1272309.25</v>
      </c>
      <c r="L76" s="42"/>
      <c r="M76" s="42"/>
      <c r="N76" s="42"/>
    </row>
    <row r="77">
      <c r="A77" s="39" t="s">
        <v>18</v>
      </c>
      <c r="B77" s="39" t="s">
        <v>29</v>
      </c>
      <c r="C77" s="42">
        <v>25621.510000000002</v>
      </c>
      <c r="D77" s="42">
        <v>42182.549999999996</v>
      </c>
      <c r="E77" s="42">
        <v>58563.369999999995</v>
      </c>
      <c r="F77" s="42">
        <v>95402.17</v>
      </c>
      <c r="G77" s="42">
        <v>122960.03</v>
      </c>
      <c r="H77" s="42">
        <v>163749.77</v>
      </c>
      <c r="I77" s="42">
        <v>181071.93</v>
      </c>
      <c r="J77" s="42">
        <v>199592.72</v>
      </c>
      <c r="K77" s="42">
        <v>225335.1</v>
      </c>
      <c r="L77" s="42"/>
      <c r="M77" s="42"/>
      <c r="N77" s="42"/>
    </row>
    <row r="78">
      <c r="A78" s="39" t="s">
        <v>18</v>
      </c>
      <c r="B78" s="39" t="s">
        <v>30</v>
      </c>
      <c r="C78" s="42">
        <v>127337.82999999999</v>
      </c>
      <c r="D78" s="42">
        <v>184620.76</v>
      </c>
      <c r="E78" s="42">
        <v>247900.47999999998</v>
      </c>
      <c r="F78" s="42">
        <v>335576.23000000004</v>
      </c>
      <c r="G78" s="42">
        <v>392057.72000000003</v>
      </c>
      <c r="H78" s="42">
        <v>761776.46</v>
      </c>
      <c r="I78" s="42">
        <v>835085.1400000001</v>
      </c>
      <c r="J78" s="42">
        <v>1002013.06</v>
      </c>
      <c r="K78" s="42">
        <v>856954.2199999999</v>
      </c>
      <c r="L78" s="42"/>
      <c r="M78" s="42"/>
      <c r="N78" s="42"/>
    </row>
    <row r="79">
      <c r="A79" s="39" t="s">
        <v>18</v>
      </c>
      <c r="B79" s="39" t="s">
        <v>31</v>
      </c>
      <c r="C79" s="42">
        <v>5213.98</v>
      </c>
      <c r="D79" s="42">
        <v>5213.98</v>
      </c>
      <c r="E79" s="42">
        <v>5213.98</v>
      </c>
      <c r="F79" s="42">
        <v>5280.48</v>
      </c>
      <c r="G79" s="42">
        <v>5297.98</v>
      </c>
      <c r="H79" s="42">
        <v>5375.98</v>
      </c>
      <c r="I79" s="42">
        <v>5375.98</v>
      </c>
      <c r="J79" s="42">
        <v>5375.98</v>
      </c>
      <c r="K79" s="42">
        <v>5375.98</v>
      </c>
      <c r="L79" s="42"/>
      <c r="M79" s="42"/>
      <c r="N79" s="42"/>
    </row>
    <row r="96">
      <c r="F96" s="20" t="s">
        <v>1</v>
      </c>
      <c r="G96" s="20" t="s">
        <v>0</v>
      </c>
      <c r="H96" s="20" t="s">
        <v>20</v>
      </c>
      <c r="I96" s="20" t="s">
        <v>32</v>
      </c>
      <c r="J96" s="20" t="s">
        <v>33</v>
      </c>
      <c r="K96" s="44"/>
    </row>
    <row r="97">
      <c r="A97" s="41" t="s">
        <v>23</v>
      </c>
      <c r="B97" s="46">
        <f>K62</f>
        <v>824105.25</v>
      </c>
      <c r="C97" s="46">
        <f>N62-K62</f>
        <v>274701.75</v>
      </c>
      <c r="D97" s="46">
        <f>K71</f>
        <v>672136.64</v>
      </c>
      <c r="F97" s="50" t="s">
        <v>23</v>
      </c>
      <c r="G97" s="51" t="s">
        <v>14</v>
      </c>
      <c r="H97" s="29" t="str">
        <f>TEXT((B97+C97)/1000,"$#,##0k")</f>
        <v>$1,099k</v>
      </c>
      <c r="I97" s="52" t="str">
        <f>IFERROR(__xludf.DUMMYFUNCTION("SPARKLINE(B97:C97,{""charttype"",""bar"";""max"",2000000;""color1"",""#4285F4"";""color2"",""#34A853""})"),"")</f>
        <v/>
      </c>
      <c r="J97" s="52"/>
      <c r="K97" s="47"/>
    </row>
    <row r="98">
      <c r="F98" s="24"/>
      <c r="G98" s="25" t="s">
        <v>18</v>
      </c>
      <c r="H98" s="24" t="str">
        <f>TEXT(D97/1000,"$#,##0k")</f>
        <v>$672k</v>
      </c>
      <c r="I98" s="24" t="str">
        <f>IFERROR(__xludf.DUMMYFUNCTION("SPARKLINE(D97,{""charttype"",""bar"";""max"",2000000;""color1"",""#FBBC04""})"),"")</f>
        <v/>
      </c>
      <c r="J98" s="26" t="str">
        <f>TEXT(D97/(B97),"00.0%") &amp; TEXT(D97/(B97+C97)," (00.0%)") </f>
        <v>81.6% (61.2%)</v>
      </c>
    </row>
    <row r="99">
      <c r="A99" s="48" t="s">
        <v>24</v>
      </c>
      <c r="B99" s="46">
        <f>K63</f>
        <v>238414.41</v>
      </c>
      <c r="C99" s="46">
        <f>N63-K63</f>
        <v>79471.47</v>
      </c>
      <c r="D99" s="46">
        <f>K72</f>
        <v>194582.67</v>
      </c>
      <c r="F99" s="27" t="s">
        <v>24</v>
      </c>
      <c r="G99" s="28" t="s">
        <v>14</v>
      </c>
      <c r="H99" s="29" t="str">
        <f>TEXT((B99+C99)/1000,"$#,##0k")</f>
        <v>$318k</v>
      </c>
      <c r="I99" s="29" t="str">
        <f>IFERROR(__xludf.DUMMYFUNCTION("SPARKLINE(B99:C99,{""charttype"",""bar"";""max"",2000000;""color1"",""#4285F4"";""color2"",""#34A853""})"),"")</f>
        <v/>
      </c>
      <c r="J99" s="29"/>
      <c r="K99" s="47"/>
    </row>
    <row r="100">
      <c r="F100" s="24"/>
      <c r="G100" s="25" t="s">
        <v>18</v>
      </c>
      <c r="H100" s="24" t="str">
        <f>TEXT(D99/1000,"$#,##0k")</f>
        <v>$195k</v>
      </c>
      <c r="I100" s="24" t="str">
        <f>IFERROR(__xludf.DUMMYFUNCTION("SPARKLINE(D99,{""charttype"",""bar"";""max"",2000000;""color1"",""#FBBC04""})"),"")</f>
        <v/>
      </c>
      <c r="J100" s="26" t="str">
        <f>TEXT(D99/(B99),"00.0%") &amp; TEXT(D99/(B99+C99)," (00.0%)") </f>
        <v>81.6% (61.2%)</v>
      </c>
    </row>
    <row r="101">
      <c r="A101" s="48" t="s">
        <v>25</v>
      </c>
      <c r="B101" s="46">
        <f>K64</f>
        <v>13921</v>
      </c>
      <c r="C101" s="46">
        <f>N64-K64</f>
        <v>711</v>
      </c>
      <c r="D101" s="46">
        <f>K73</f>
        <v>64029.51</v>
      </c>
      <c r="F101" s="27" t="s">
        <v>25</v>
      </c>
      <c r="G101" s="28" t="s">
        <v>14</v>
      </c>
      <c r="H101" s="29" t="str">
        <f>TEXT((B101+C101)/1000,"$#,##0k")</f>
        <v>$15k</v>
      </c>
      <c r="I101" s="29" t="str">
        <f>IFERROR(__xludf.DUMMYFUNCTION("SPARKLINE(B101:C101,{""charttype"",""bar"";""max"",2000000;""color1"",""#4285F4"";""color2"",""#34A853""})"),"")</f>
        <v/>
      </c>
      <c r="J101" s="29"/>
      <c r="K101" s="47"/>
    </row>
    <row r="102">
      <c r="F102" s="24"/>
      <c r="G102" s="25" t="s">
        <v>18</v>
      </c>
      <c r="H102" s="24" t="str">
        <f>TEXT(D101/1000,"$#,##0k")</f>
        <v>$64k</v>
      </c>
      <c r="I102" s="24" t="str">
        <f>IFERROR(__xludf.DUMMYFUNCTION("SPARKLINE(D101,{""charttype"",""bar"";""max"",2000000;""color1"",""#FBBC04""})"),"")</f>
        <v/>
      </c>
      <c r="J102" s="26" t="str">
        <f>TEXT(D101/(B101),"00.0%") &amp; TEXT(D101/(B101+C101)," (00.0%)") </f>
        <v>459.9% (437.6%)</v>
      </c>
    </row>
    <row r="103">
      <c r="A103" s="48" t="s">
        <v>26</v>
      </c>
      <c r="B103" s="46">
        <f>K65</f>
        <v>521064.72</v>
      </c>
      <c r="C103" s="46">
        <f>N65-K65</f>
        <v>173688.24</v>
      </c>
      <c r="D103" s="46">
        <f>K74</f>
        <v>610799.71</v>
      </c>
      <c r="F103" s="27" t="str">
        <f>A103</f>
        <v>4 Rent</v>
      </c>
      <c r="G103" s="28" t="s">
        <v>14</v>
      </c>
      <c r="H103" s="29" t="str">
        <f>TEXT((B103+C103)/1000,"$#,##0k")</f>
        <v>$695k</v>
      </c>
      <c r="I103" s="29" t="str">
        <f>IFERROR(__xludf.DUMMYFUNCTION("SPARKLINE(B103:C103,{""charttype"",""bar"";""max"",2000000;""color1"",""#4285F4"";""color2"",""#34A853""})"),"")</f>
        <v/>
      </c>
      <c r="J103" s="29"/>
      <c r="K103" s="47"/>
    </row>
    <row r="104">
      <c r="F104" s="24"/>
      <c r="G104" s="25" t="s">
        <v>18</v>
      </c>
      <c r="H104" s="24" t="str">
        <f>TEXT(D103/1000,"$#,##0k")</f>
        <v>$611k</v>
      </c>
      <c r="I104" s="24" t="str">
        <f>IFERROR(__xludf.DUMMYFUNCTION("SPARKLINE(D103,{""charttype"",""bar"";""max"",2000000;""color1"",""#FBBC04""})"),"")</f>
        <v/>
      </c>
      <c r="J104" s="26" t="str">
        <f>TEXT(D103/(B103),"00.0%") &amp; TEXT(D103/(B103+C103)," (00.0%)") </f>
        <v>117.2% (87.9%)</v>
      </c>
    </row>
    <row r="105">
      <c r="A105" s="48" t="s">
        <v>27</v>
      </c>
      <c r="B105" s="46">
        <f>K66</f>
        <v>534758.48</v>
      </c>
      <c r="C105" s="46">
        <f>N66-K66</f>
        <v>75645.72</v>
      </c>
      <c r="D105" s="46">
        <f>K75</f>
        <v>232401.42</v>
      </c>
      <c r="F105" s="27" t="str">
        <f>A105</f>
        <v>5 Occupancy Service</v>
      </c>
      <c r="G105" s="28" t="s">
        <v>14</v>
      </c>
      <c r="H105" s="29" t="str">
        <f>TEXT((B105+C105)/1000,"$#,##0k")</f>
        <v>$610k</v>
      </c>
      <c r="I105" s="29" t="str">
        <f>IFERROR(__xludf.DUMMYFUNCTION("SPARKLINE(B105:C105,{""charttype"",""bar"";""max"",2000000;""color1"",""#4285F4"";""color2"",""#34A853""})"),"")</f>
        <v/>
      </c>
      <c r="J105" s="29"/>
      <c r="K105" s="47"/>
    </row>
    <row r="106">
      <c r="F106" s="24"/>
      <c r="G106" s="25" t="s">
        <v>18</v>
      </c>
      <c r="H106" s="24" t="str">
        <f>TEXT(D105/1000,"$#,##0k")</f>
        <v>$232k</v>
      </c>
      <c r="I106" s="24" t="str">
        <f>IFERROR(__xludf.DUMMYFUNCTION("SPARKLINE(D105,{""charttype"",""bar"";""max"",2000000;""color1"",""#FBBC04""})"),"")</f>
        <v/>
      </c>
      <c r="J106" s="26" t="str">
        <f>TEXT(D105/(B105),"00.0%") &amp; TEXT(D105/(B105+C105)," (00.0%)") </f>
        <v>43.5% (38.1%)</v>
      </c>
    </row>
    <row r="107">
      <c r="A107" s="48" t="s">
        <v>28</v>
      </c>
      <c r="B107" s="46">
        <f>K67</f>
        <v>1261556.94</v>
      </c>
      <c r="C107" s="46">
        <f>N67-K67</f>
        <v>491351.02</v>
      </c>
      <c r="D107" s="46">
        <f>K76</f>
        <v>1272309.25</v>
      </c>
      <c r="F107" s="27" t="str">
        <f>A107</f>
        <v>6 Student Expense, Direct</v>
      </c>
      <c r="G107" s="28" t="s">
        <v>14</v>
      </c>
      <c r="H107" s="29" t="str">
        <f>TEXT((B107+C107)/1000,"$#,##0k")</f>
        <v>$1,753k</v>
      </c>
      <c r="I107" s="29" t="str">
        <f>IFERROR(__xludf.DUMMYFUNCTION("SPARKLINE(B107:C107,{""charttype"",""bar"";""max"",2000000;""color1"",""#4285F4"";""color2"",""#34A853""})"),"")</f>
        <v/>
      </c>
      <c r="J107" s="29"/>
      <c r="K107" s="47"/>
    </row>
    <row r="108">
      <c r="F108" s="24"/>
      <c r="G108" s="25" t="s">
        <v>18</v>
      </c>
      <c r="H108" s="24" t="str">
        <f>TEXT(D107/1000,"$#,##0k")</f>
        <v>$1,272k</v>
      </c>
      <c r="I108" s="24" t="str">
        <f>IFERROR(__xludf.DUMMYFUNCTION("SPARKLINE(D107,{""charttype"",""bar"";""max"",2000000;""color1"",""#FBBC04""})"),"")</f>
        <v/>
      </c>
      <c r="J108" s="26" t="str">
        <f>TEXT(D107/(B107),"00.0%") &amp; TEXT(D107/(B107+C107)," (00.0%)") </f>
        <v>100.9% (72.6%)</v>
      </c>
    </row>
    <row r="109">
      <c r="A109" s="48" t="s">
        <v>29</v>
      </c>
      <c r="B109" s="46">
        <f>K68</f>
        <v>288720.64</v>
      </c>
      <c r="C109" s="46">
        <f>N68-K68</f>
        <v>95775.18</v>
      </c>
      <c r="D109" s="46">
        <f>K77</f>
        <v>225335.1</v>
      </c>
      <c r="F109" s="27" t="str">
        <f>A109</f>
        <v>7 Student Expense, Indirect</v>
      </c>
      <c r="G109" s="28" t="s">
        <v>14</v>
      </c>
      <c r="H109" s="29" t="str">
        <f>TEXT((B109+C109)/1000,"$#,##0k")</f>
        <v>$384k</v>
      </c>
      <c r="I109" s="29" t="str">
        <f>IFERROR(__xludf.DUMMYFUNCTION("SPARKLINE(B109:C109,{""charttype"",""bar"";""max"",2000000;""color1"",""#4285F4"";""color2"",""#34A853""})"),"")</f>
        <v/>
      </c>
      <c r="J109" s="29"/>
      <c r="K109" s="47"/>
    </row>
    <row r="110">
      <c r="F110" s="24"/>
      <c r="G110" s="25" t="s">
        <v>18</v>
      </c>
      <c r="H110" s="24" t="str">
        <f>TEXT(D109/1000,"$#,##0k")</f>
        <v>$225k</v>
      </c>
      <c r="I110" s="24" t="str">
        <f>IFERROR(__xludf.DUMMYFUNCTION("SPARKLINE(D109,{""charttype"",""bar"";""max"",2000000;""color1"",""#FBBC04""})"),"")</f>
        <v/>
      </c>
      <c r="J110" s="26" t="str">
        <f>TEXT(D109/(B109),"00.0%") &amp; TEXT(D109/(B109+C109)," (00.0%)") </f>
        <v>78.0% (58.6%)</v>
      </c>
    </row>
    <row r="111">
      <c r="A111" s="48" t="s">
        <v>30</v>
      </c>
      <c r="B111" s="46">
        <f>K69</f>
        <v>664287.83</v>
      </c>
      <c r="C111" s="46">
        <f>N69-K69</f>
        <v>186617.7</v>
      </c>
      <c r="D111" s="46">
        <f>K78</f>
        <v>856954.22</v>
      </c>
      <c r="F111" s="27" t="str">
        <f>A111</f>
        <v>8 Office and Business</v>
      </c>
      <c r="G111" s="28" t="s">
        <v>14</v>
      </c>
      <c r="H111" s="29" t="str">
        <f>TEXT((B111+C111)/1000,"$#,##0k")</f>
        <v>$851k</v>
      </c>
      <c r="I111" s="29" t="str">
        <f>IFERROR(__xludf.DUMMYFUNCTION("SPARKLINE(B111:C111,{""charttype"",""bar"";""max"",2000000;""color1"",""#4285F4"";""color2"",""#34A853""})"),"")</f>
        <v/>
      </c>
      <c r="J111" s="29"/>
      <c r="K111" s="47"/>
    </row>
    <row r="112">
      <c r="F112" s="24"/>
      <c r="G112" s="25" t="s">
        <v>18</v>
      </c>
      <c r="H112" s="24" t="str">
        <f>TEXT(D111/1000,"$#,##0k")</f>
        <v>$857k</v>
      </c>
      <c r="I112" s="24" t="str">
        <f>IFERROR(__xludf.DUMMYFUNCTION("SPARKLINE(D111,{""charttype"",""bar"";""max"",2000000;""color1"",""#FBBC04""})"),"")</f>
        <v/>
      </c>
      <c r="J112" s="26" t="str">
        <f>TEXT(D111/(B111),"00.0%") &amp; TEXT(D111/(B111+C111)," (00.0%)") </f>
        <v>129.0% (100.7%)</v>
      </c>
    </row>
    <row r="113">
      <c r="A113" s="48" t="s">
        <v>31</v>
      </c>
      <c r="B113" s="46">
        <f>K70</f>
        <v>6563.97</v>
      </c>
      <c r="C113" s="46">
        <f>N70-K70</f>
        <v>2187.99</v>
      </c>
      <c r="D113" s="46">
        <f>K79</f>
        <v>5375.98</v>
      </c>
      <c r="F113" s="27" t="str">
        <f>A113</f>
        <v>9 Transportation</v>
      </c>
      <c r="G113" s="28" t="s">
        <v>14</v>
      </c>
      <c r="H113" s="29" t="str">
        <f>TEXT((B113+C113)/1000,"$#,##0k")</f>
        <v>$9k</v>
      </c>
      <c r="I113" s="29" t="str">
        <f>IFERROR(__xludf.DUMMYFUNCTION("SPARKLINE(B113:C113,{""charttype"",""bar"";""max"",2000000;""color1"",""#4285F4"";""color2"",""#34A853""})"),"")</f>
        <v/>
      </c>
      <c r="J113" s="29"/>
      <c r="K113" s="47"/>
    </row>
    <row r="114">
      <c r="F114" s="24"/>
      <c r="G114" s="25" t="s">
        <v>18</v>
      </c>
      <c r="H114" s="24" t="str">
        <f>TEXT(D113/1000,"$#,##0k")</f>
        <v>$5k</v>
      </c>
      <c r="I114" s="24" t="str">
        <f>IFERROR(__xludf.DUMMYFUNCTION("SPARKLINE(D113,{""charttype"",""bar"";""max"",2000000;""color1"",""#FBBC04""})"),"")</f>
        <v/>
      </c>
      <c r="J114" s="26" t="str">
        <f>TEXT(D113/(B113),"00.0%") &amp; TEXT(D113/(B113+C113)," (00.0%)") </f>
        <v>81.9% (61.4%)</v>
      </c>
    </row>
    <row r="116"/>
    <row r="117"/>
    <row r="118"/>
    <row r="119"/>
    <row r="120"/>
    <row r="121"/>
    <row r="122"/>
    <row r="124">
      <c r="A124" s="39" t="s">
        <v>0</v>
      </c>
      <c r="B124" s="41" t="s">
        <v>34</v>
      </c>
      <c r="C124" s="39" t="s">
        <v>2</v>
      </c>
      <c r="D124" s="39" t="s">
        <v>3</v>
      </c>
      <c r="E124" s="39" t="s">
        <v>4</v>
      </c>
      <c r="F124" s="39" t="s">
        <v>5</v>
      </c>
      <c r="G124" s="39" t="s">
        <v>6</v>
      </c>
      <c r="H124" s="39" t="s">
        <v>7</v>
      </c>
      <c r="I124" s="39" t="s">
        <v>8</v>
      </c>
      <c r="J124" s="39" t="s">
        <v>9</v>
      </c>
      <c r="K124" s="39" t="s">
        <v>10</v>
      </c>
      <c r="L124" s="39" t="s">
        <v>11</v>
      </c>
      <c r="M124" s="39" t="s">
        <v>12</v>
      </c>
      <c r="N124" s="39" t="s">
        <v>13</v>
      </c>
    </row>
    <row r="125">
      <c r="A125" s="39" t="s">
        <v>14</v>
      </c>
      <c r="B125" s="39" t="s">
        <v>35</v>
      </c>
      <c r="C125" s="46">
        <v>510647.3300000001</v>
      </c>
      <c r="D125" s="46">
        <v>1566643.79</v>
      </c>
      <c r="E125" s="46">
        <v>1983462.3799999997</v>
      </c>
      <c r="F125" s="46">
        <v>2369583.2699999996</v>
      </c>
      <c r="G125" s="46">
        <v>2754734.259999999</v>
      </c>
      <c r="H125" s="46">
        <v>3166965.2499999995</v>
      </c>
      <c r="I125" s="46">
        <v>3585835.3399999994</v>
      </c>
      <c r="J125" s="46">
        <v>3968184.2900000005</v>
      </c>
      <c r="K125" s="46">
        <v>4353393.240000001</v>
      </c>
      <c r="L125" s="46">
        <v>4735272.189999999</v>
      </c>
      <c r="M125" s="46">
        <v>5270751.180000002</v>
      </c>
      <c r="N125" s="46">
        <v>5733543.309999999</v>
      </c>
    </row>
    <row r="126">
      <c r="A126" s="39" t="s">
        <v>14</v>
      </c>
      <c r="B126" s="39" t="s">
        <v>36</v>
      </c>
      <c r="C126" s="46">
        <v>425248.16000000003</v>
      </c>
      <c r="D126" s="46">
        <v>850496.3200000001</v>
      </c>
      <c r="E126" s="46">
        <v>1275744.48</v>
      </c>
      <c r="F126" s="46">
        <v>1700992.6400000001</v>
      </c>
      <c r="G126" s="46">
        <v>2126240.8</v>
      </c>
      <c r="H126" s="46">
        <v>2551488.96</v>
      </c>
      <c r="I126" s="46">
        <v>2976737.12</v>
      </c>
      <c r="J126" s="46">
        <v>3471985.2800000003</v>
      </c>
      <c r="K126" s="46">
        <v>3897233.44</v>
      </c>
      <c r="L126" s="46">
        <v>4322481.6</v>
      </c>
      <c r="M126" s="46">
        <v>6135729.76</v>
      </c>
      <c r="N126" s="46">
        <v>8113916.93</v>
      </c>
    </row>
    <row r="127">
      <c r="A127" s="39" t="s">
        <v>18</v>
      </c>
      <c r="B127" s="39" t="s">
        <v>35</v>
      </c>
      <c r="C127" s="46">
        <v>635445.9000000001</v>
      </c>
      <c r="D127" s="46">
        <v>1081099.8499999999</v>
      </c>
      <c r="E127" s="46">
        <v>1460569.5999999999</v>
      </c>
      <c r="F127" s="46">
        <v>1902132.4600000004</v>
      </c>
      <c r="G127" s="46">
        <v>2344162.590000001</v>
      </c>
      <c r="H127" s="46">
        <v>3046378.5899999994</v>
      </c>
      <c r="I127" s="46">
        <v>3480370.0000000005</v>
      </c>
      <c r="J127" s="46">
        <v>3917418.7800000003</v>
      </c>
      <c r="K127" s="46">
        <v>4141558.7600000007</v>
      </c>
      <c r="L127" s="46">
        <v>0.0</v>
      </c>
      <c r="M127" s="46">
        <v>0.0</v>
      </c>
      <c r="N127" s="46">
        <v>0.0</v>
      </c>
    </row>
    <row r="128">
      <c r="A128" s="39" t="s">
        <v>18</v>
      </c>
      <c r="B128" s="39" t="s">
        <v>36</v>
      </c>
      <c r="C128" s="46">
        <v>328004.69</v>
      </c>
      <c r="D128" s="46">
        <v>576996.0</v>
      </c>
      <c r="E128" s="46">
        <v>877286.8500000001</v>
      </c>
      <c r="F128" s="46">
        <v>1990030.7799999998</v>
      </c>
      <c r="G128" s="46">
        <v>2535058.5199999996</v>
      </c>
      <c r="H128" s="46">
        <v>3045538.8699999996</v>
      </c>
      <c r="I128" s="46">
        <v>3520213.89</v>
      </c>
      <c r="J128" s="46">
        <v>3883129.87</v>
      </c>
      <c r="K128" s="46">
        <v>4520249.9399999995</v>
      </c>
      <c r="L128" s="46">
        <v>0.0</v>
      </c>
      <c r="M128" s="46">
        <v>0.0</v>
      </c>
      <c r="N128" s="46">
        <v>0.0</v>
      </c>
    </row>
    <row r="129">
      <c r="B129" s="41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</row>
    <row r="130">
      <c r="A130" s="39" t="s">
        <v>0</v>
      </c>
      <c r="C130" s="39" t="s">
        <v>2</v>
      </c>
      <c r="D130" s="39" t="s">
        <v>3</v>
      </c>
      <c r="E130" s="39" t="s">
        <v>4</v>
      </c>
      <c r="F130" s="39" t="s">
        <v>5</v>
      </c>
      <c r="G130" s="39" t="s">
        <v>6</v>
      </c>
      <c r="H130" s="39" t="s">
        <v>7</v>
      </c>
      <c r="I130" s="39" t="s">
        <v>8</v>
      </c>
      <c r="J130" s="39" t="s">
        <v>9</v>
      </c>
      <c r="K130" s="39" t="s">
        <v>10</v>
      </c>
      <c r="L130" s="39" t="s">
        <v>11</v>
      </c>
      <c r="M130" s="39" t="s">
        <v>12</v>
      </c>
      <c r="N130" s="39" t="s">
        <v>13</v>
      </c>
    </row>
    <row r="131">
      <c r="A131" s="39" t="s">
        <v>14</v>
      </c>
      <c r="C131" s="46">
        <f t="shared" ref="C131:N131" si="1">C126-C125</f>
        <v>-85399.17</v>
      </c>
      <c r="D131" s="46">
        <f t="shared" si="1"/>
        <v>-716147.47</v>
      </c>
      <c r="E131" s="46">
        <f t="shared" si="1"/>
        <v>-707717.9</v>
      </c>
      <c r="F131" s="46">
        <f t="shared" si="1"/>
        <v>-668590.63</v>
      </c>
      <c r="G131" s="46">
        <f t="shared" si="1"/>
        <v>-628493.46</v>
      </c>
      <c r="H131" s="46">
        <f t="shared" si="1"/>
        <v>-615476.29</v>
      </c>
      <c r="I131" s="46">
        <f t="shared" si="1"/>
        <v>-609098.22</v>
      </c>
      <c r="J131" s="46">
        <f t="shared" si="1"/>
        <v>-496199.01</v>
      </c>
      <c r="K131" s="46">
        <f t="shared" si="1"/>
        <v>-456159.8</v>
      </c>
      <c r="L131" s="46">
        <f t="shared" si="1"/>
        <v>-412790.59</v>
      </c>
      <c r="M131" s="46">
        <f t="shared" si="1"/>
        <v>864978.58</v>
      </c>
      <c r="N131" s="46">
        <f t="shared" si="1"/>
        <v>2380373.62</v>
      </c>
    </row>
    <row r="132">
      <c r="A132" s="39" t="s">
        <v>18</v>
      </c>
      <c r="C132" s="46">
        <f t="shared" ref="C132:K132" si="2">C128-C127</f>
        <v>-307441.21</v>
      </c>
      <c r="D132" s="46">
        <f t="shared" si="2"/>
        <v>-504103.85</v>
      </c>
      <c r="E132" s="46">
        <f t="shared" si="2"/>
        <v>-583282.75</v>
      </c>
      <c r="F132" s="46">
        <f t="shared" si="2"/>
        <v>87898.32</v>
      </c>
      <c r="G132" s="46">
        <f t="shared" si="2"/>
        <v>190895.93</v>
      </c>
      <c r="H132" s="46">
        <f t="shared" si="2"/>
        <v>-839.72</v>
      </c>
      <c r="I132" s="46">
        <f t="shared" si="2"/>
        <v>39843.89</v>
      </c>
      <c r="J132" s="46">
        <f t="shared" si="2"/>
        <v>-34288.91</v>
      </c>
      <c r="K132" s="46">
        <f t="shared" si="2"/>
        <v>378691.18</v>
      </c>
      <c r="L132" s="46"/>
      <c r="M132" s="46"/>
      <c r="N132" s="46"/>
    </row>
    <row r="147">
      <c r="A147" s="41" t="s">
        <v>39</v>
      </c>
    </row>
    <row r="148"/>
    <row r="149"/>
    <row r="150"/>
    <row r="151"/>
    <row r="152"/>
    <row r="153"/>
    <row r="154"/>
    <row r="155">
      <c r="A155" s="41"/>
      <c r="B155" s="41"/>
    </row>
    <row r="156">
      <c r="A156" s="41" t="s">
        <v>0</v>
      </c>
      <c r="C156" s="39" t="s">
        <v>2</v>
      </c>
      <c r="D156" s="39" t="s">
        <v>3</v>
      </c>
      <c r="E156" s="39" t="s">
        <v>4</v>
      </c>
      <c r="F156" s="39" t="s">
        <v>5</v>
      </c>
      <c r="G156" s="39" t="s">
        <v>6</v>
      </c>
      <c r="H156" s="39" t="s">
        <v>7</v>
      </c>
      <c r="I156" s="39" t="s">
        <v>8</v>
      </c>
      <c r="J156" s="39" t="s">
        <v>9</v>
      </c>
      <c r="K156" s="39" t="s">
        <v>10</v>
      </c>
      <c r="L156" s="39" t="s">
        <v>11</v>
      </c>
      <c r="M156" s="39" t="s">
        <v>12</v>
      </c>
      <c r="N156" s="39" t="s">
        <v>13</v>
      </c>
      <c r="O156" s="41" t="s">
        <v>40</v>
      </c>
    </row>
    <row r="157">
      <c r="A157" s="41" t="s">
        <v>19</v>
      </c>
      <c r="C157" s="46">
        <f>O157+C150-C149</f>
        <v>1709147.71</v>
      </c>
      <c r="D157" s="46">
        <f t="shared" ref="D157:N157" si="3">C157+D150-D149</f>
        <v>1078399.41</v>
      </c>
      <c r="E157" s="46">
        <f t="shared" si="3"/>
        <v>1086828.98</v>
      </c>
      <c r="F157" s="46">
        <f t="shared" si="3"/>
        <v>1125956.25</v>
      </c>
      <c r="G157" s="46">
        <f t="shared" si="3"/>
        <v>1166053.42</v>
      </c>
      <c r="H157" s="46">
        <f t="shared" si="3"/>
        <v>1179070.59</v>
      </c>
      <c r="I157" s="46">
        <f t="shared" si="3"/>
        <v>1185448.66</v>
      </c>
      <c r="J157" s="46">
        <f t="shared" si="3"/>
        <v>1298347.87</v>
      </c>
      <c r="K157" s="46">
        <f t="shared" si="3"/>
        <v>1338387.08</v>
      </c>
      <c r="L157" s="46">
        <f t="shared" si="3"/>
        <v>1381756.29</v>
      </c>
      <c r="M157" s="46">
        <f t="shared" si="3"/>
        <v>1271525.46</v>
      </c>
      <c r="N157" s="46">
        <f t="shared" si="3"/>
        <v>2223036.5</v>
      </c>
      <c r="O157" s="42">
        <v>1794546.88</v>
      </c>
    </row>
    <row r="158">
      <c r="A158" s="41" t="s">
        <v>18</v>
      </c>
      <c r="C158" s="54">
        <v>1713257.51</v>
      </c>
      <c r="D158" s="54">
        <v>1517444.92</v>
      </c>
      <c r="E158" s="54">
        <v>1309373.9</v>
      </c>
      <c r="F158" s="54">
        <v>1660027.79</v>
      </c>
      <c r="G158" s="55">
        <v>1778351.34</v>
      </c>
      <c r="H158" s="55">
        <v>1555516.02</v>
      </c>
      <c r="I158" s="54">
        <v>1683696.4200000004</v>
      </c>
      <c r="J158" s="46">
        <v>1615199.710000001</v>
      </c>
      <c r="K158" s="46">
        <v>2003565.9800000007</v>
      </c>
      <c r="L158" s="46"/>
      <c r="M158" s="46"/>
      <c r="N158" s="46"/>
      <c r="O158" s="42">
        <v>1794546.88</v>
      </c>
    </row>
    <row r="159">
      <c r="A159" s="41" t="s">
        <v>41</v>
      </c>
      <c r="C159" s="42"/>
      <c r="D159" s="42"/>
      <c r="E159" s="42"/>
      <c r="F159" s="42"/>
      <c r="G159" s="42"/>
      <c r="H159" s="42"/>
      <c r="I159" s="46"/>
      <c r="J159" s="46"/>
      <c r="K159" s="46">
        <f>K158</f>
        <v>2003565.98</v>
      </c>
      <c r="L159" s="46">
        <f t="shared" ref="L159:N159" si="4">K159+L150-L149</f>
        <v>2046935.19</v>
      </c>
      <c r="M159" s="46">
        <f t="shared" si="4"/>
        <v>1936704.36</v>
      </c>
      <c r="N159" s="46">
        <f t="shared" si="4"/>
        <v>2888215.4</v>
      </c>
      <c r="O159" s="42"/>
    </row>
    <row r="163">
      <c r="G163" s="41" t="s">
        <v>42</v>
      </c>
      <c r="I163" s="42">
        <f>SUM($C$149:$N$149)/365</f>
        <v>15708.33784</v>
      </c>
    </row>
    <row r="164">
      <c r="G164" s="41" t="s">
        <v>43</v>
      </c>
      <c r="I164" s="42">
        <f>J158</f>
        <v>1615199.71</v>
      </c>
    </row>
    <row r="165">
      <c r="G165" s="41" t="s">
        <v>44</v>
      </c>
      <c r="I165" s="56">
        <f>I164/I163</f>
        <v>102.8243553</v>
      </c>
    </row>
  </sheetData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2.63" defaultRowHeight="15.75"/>
  <cols>
    <col customWidth="1" min="1" max="1" width="9.5"/>
    <col customWidth="1" min="2" max="2" width="12.13"/>
    <col customWidth="1" min="3" max="3" width="24.0"/>
    <col customWidth="1" min="4" max="4" width="19.75"/>
  </cols>
  <sheetData>
    <row r="1">
      <c r="A1" s="57" t="s">
        <v>0</v>
      </c>
      <c r="B1" s="57" t="s">
        <v>34</v>
      </c>
      <c r="C1" s="57" t="s">
        <v>1</v>
      </c>
      <c r="D1" s="57" t="s">
        <v>45</v>
      </c>
      <c r="E1" s="58">
        <v>44378.0</v>
      </c>
      <c r="F1" s="58">
        <v>44409.0</v>
      </c>
      <c r="G1" s="58">
        <v>44440.0</v>
      </c>
      <c r="H1" s="58">
        <v>44470.0</v>
      </c>
      <c r="I1" s="58">
        <v>44501.0</v>
      </c>
      <c r="J1" s="58">
        <v>44531.0</v>
      </c>
      <c r="K1" s="58">
        <v>44562.0</v>
      </c>
      <c r="L1" s="58">
        <v>44593.0</v>
      </c>
      <c r="M1" s="58">
        <v>44621.0</v>
      </c>
      <c r="N1" s="58">
        <v>44652.0</v>
      </c>
      <c r="O1" s="58">
        <v>44682.0</v>
      </c>
      <c r="P1" s="58">
        <v>44713.0</v>
      </c>
      <c r="Q1" s="58">
        <v>44743.0</v>
      </c>
      <c r="R1" s="58" t="s">
        <v>46</v>
      </c>
      <c r="S1" s="58">
        <v>44378.0</v>
      </c>
      <c r="T1" s="58">
        <v>44409.0</v>
      </c>
      <c r="U1" s="58">
        <v>44440.0</v>
      </c>
      <c r="V1" s="58">
        <v>44470.0</v>
      </c>
      <c r="W1" s="58">
        <v>44501.0</v>
      </c>
      <c r="X1" s="58">
        <v>44531.0</v>
      </c>
      <c r="Y1" s="58">
        <v>44562.0</v>
      </c>
      <c r="Z1" s="58">
        <v>44593.0</v>
      </c>
      <c r="AA1" s="58">
        <v>44621.0</v>
      </c>
      <c r="AB1" s="58">
        <v>44652.0</v>
      </c>
      <c r="AC1" s="58">
        <v>44682.0</v>
      </c>
      <c r="AD1" s="58">
        <v>44713.0</v>
      </c>
      <c r="AE1" s="58">
        <v>44743.0</v>
      </c>
    </row>
    <row r="2" hidden="1">
      <c r="A2" s="41" t="s">
        <v>14</v>
      </c>
      <c r="B2" s="41" t="s">
        <v>36</v>
      </c>
      <c r="C2" s="41" t="s">
        <v>17</v>
      </c>
      <c r="D2" s="59" t="s">
        <v>47</v>
      </c>
      <c r="E2" s="60">
        <f>IFERROR(__xludf.DUMMYFUNCTION("IFERROR(SUM(FILTER(FILTER('FY22 Budget'!$F$1:$AC$71,'FY22 Budget'!$F$1:$AC$1&gt;=(E$1),'FY22 Budget'!$F$1:$AC$1&lt;(F$1)),'FY22 Budget'!$C$1:$C$71=$D2)),"""")"),21855.75)</f>
        <v>21855.75</v>
      </c>
      <c r="F2" s="60">
        <f>IFERROR(__xludf.DUMMYFUNCTION("IFERROR(SUM(FILTER(FILTER('FY22 Budget'!$F$1:$AC$71,'FY22 Budget'!$F$1:$AC$1&gt;=(F$1),'FY22 Budget'!$F$1:$AC$1&lt;(G$1)),'FY22 Budget'!$C$1:$C$71=$D2)),"""")"),21855.75)</f>
        <v>21855.75</v>
      </c>
      <c r="G2" s="60">
        <f>IFERROR(__xludf.DUMMYFUNCTION("IFERROR(SUM(FILTER(FILTER('FY22 Budget'!$F$1:$AC$71,'FY22 Budget'!$F$1:$AC$1&gt;=(G$1),'FY22 Budget'!$F$1:$AC$1&lt;(H$1)),'FY22 Budget'!$C$1:$C$71=$D2)),"""")"),21855.75)</f>
        <v>21855.75</v>
      </c>
      <c r="H2" s="60">
        <f>IFERROR(__xludf.DUMMYFUNCTION("IFERROR(SUM(FILTER(FILTER('FY22 Budget'!$F$1:$AC$71,'FY22 Budget'!$F$1:$AC$1&gt;=(H$1),'FY22 Budget'!$F$1:$AC$1&lt;(I$1)),'FY22 Budget'!$C$1:$C$71=$D2)),"""")"),21855.75)</f>
        <v>21855.75</v>
      </c>
      <c r="I2" s="60">
        <f>IFERROR(__xludf.DUMMYFUNCTION("IFERROR(SUM(FILTER(FILTER('FY22 Budget'!$F$1:$AC$71,'FY22 Budget'!$F$1:$AC$1&gt;=(I$1),'FY22 Budget'!$F$1:$AC$1&lt;(J$1)),'FY22 Budget'!$C$1:$C$71=$D2)),"""")"),21855.75)</f>
        <v>21855.75</v>
      </c>
      <c r="J2" s="60">
        <f>IFERROR(__xludf.DUMMYFUNCTION("IFERROR(SUM(FILTER(FILTER('FY22 Budget'!$F$1:$AC$71,'FY22 Budget'!$F$1:$AC$1&gt;=(J$1),'FY22 Budget'!$F$1:$AC$1&lt;(K$1)),'FY22 Budget'!$C$1:$C$71=$D2)),"""")"),21855.75)</f>
        <v>21855.75</v>
      </c>
      <c r="K2" s="60">
        <f>IFERROR(__xludf.DUMMYFUNCTION("IFERROR(SUM(FILTER(FILTER('FY22 Budget'!$F$1:$AC$71,'FY22 Budget'!$F$1:$AC$1&gt;=(K$1),'FY22 Budget'!$F$1:$AC$1&lt;(L$1)),'FY22 Budget'!$C$1:$C$71=$D2)),"""")"),21855.75)</f>
        <v>21855.75</v>
      </c>
      <c r="L2" s="60">
        <f>IFERROR(__xludf.DUMMYFUNCTION("IFERROR(SUM(FILTER(FILTER('FY22 Budget'!$F$1:$AC$71,'FY22 Budget'!$F$1:$AC$1&gt;=(L$1),'FY22 Budget'!$F$1:$AC$1&lt;(M$1)),'FY22 Budget'!$C$1:$C$71=$D2)),"""")"),21855.75)</f>
        <v>21855.75</v>
      </c>
      <c r="M2" s="60">
        <f>IFERROR(__xludf.DUMMYFUNCTION("IFERROR(SUM(FILTER(FILTER('FY22 Budget'!$F$1:$AC$71,'FY22 Budget'!$F$1:$AC$1&gt;=(M$1),'FY22 Budget'!$F$1:$AC$1&lt;(N$1)),'FY22 Budget'!$C$1:$C$71=$D2)),"""")"),21855.75)</f>
        <v>21855.75</v>
      </c>
      <c r="N2" s="60">
        <f>IFERROR(__xludf.DUMMYFUNCTION("IFERROR(SUM(FILTER(FILTER('FY22 Budget'!$F$1:$AC$71,'FY22 Budget'!$F$1:$AC$1&gt;=(N$1),'FY22 Budget'!$F$1:$AC$1&lt;(O$1)),'FY22 Budget'!$C$1:$C$71=$D2)),"""")"),21855.75)</f>
        <v>21855.75</v>
      </c>
      <c r="O2" s="60">
        <f>IFERROR(__xludf.DUMMYFUNCTION("IFERROR(SUM(FILTER(FILTER('FY22 Budget'!$F$1:$AC$71,'FY22 Budget'!$F$1:$AC$1&gt;=(O$1),'FY22 Budget'!$F$1:$AC$1&lt;(P$1)),'FY22 Budget'!$C$1:$C$71=$D2)),"""")"),21855.75)</f>
        <v>21855.75</v>
      </c>
      <c r="P2" s="60">
        <f>IFERROR(__xludf.DUMMYFUNCTION("IFERROR(SUM(FILTER(FILTER('FY22 Budget'!$F$1:$AC$71,'FY22 Budget'!$F$1:$AC$1&gt;=(P$1),'FY22 Budget'!$F$1:$AC$1&lt;(Q$1)),'FY22 Budget'!$C$1:$C$71=$D2)),"""")"),21855.75)</f>
        <v>21855.75</v>
      </c>
      <c r="Q2" s="48"/>
      <c r="R2" s="60"/>
      <c r="S2" s="60">
        <f t="shared" ref="S2:AD2" si="1">SUM($E2:E2)</f>
        <v>21855.75</v>
      </c>
      <c r="T2" s="60">
        <f t="shared" si="1"/>
        <v>43711.5</v>
      </c>
      <c r="U2" s="60">
        <f t="shared" si="1"/>
        <v>65567.25</v>
      </c>
      <c r="V2" s="60">
        <f t="shared" si="1"/>
        <v>87423</v>
      </c>
      <c r="W2" s="60">
        <f t="shared" si="1"/>
        <v>109278.75</v>
      </c>
      <c r="X2" s="60">
        <f t="shared" si="1"/>
        <v>131134.5</v>
      </c>
      <c r="Y2" s="60">
        <f t="shared" si="1"/>
        <v>152990.25</v>
      </c>
      <c r="Z2" s="60">
        <f t="shared" si="1"/>
        <v>174846</v>
      </c>
      <c r="AA2" s="60">
        <f t="shared" si="1"/>
        <v>196701.75</v>
      </c>
      <c r="AB2" s="60">
        <f t="shared" si="1"/>
        <v>218557.5</v>
      </c>
      <c r="AC2" s="60">
        <f t="shared" si="1"/>
        <v>240413.25</v>
      </c>
      <c r="AD2" s="60">
        <f t="shared" si="1"/>
        <v>262269</v>
      </c>
      <c r="AE2" s="60"/>
    </row>
    <row r="3" hidden="1">
      <c r="A3" s="41" t="s">
        <v>14</v>
      </c>
      <c r="B3" s="41" t="s">
        <v>36</v>
      </c>
      <c r="C3" s="41" t="s">
        <v>17</v>
      </c>
      <c r="D3" s="59" t="s">
        <v>48</v>
      </c>
      <c r="E3" s="60">
        <f>IFERROR(__xludf.DUMMYFUNCTION("IFERROR(SUM(FILTER(FILTER('FY22 Budget'!$F$1:$AC$71,'FY22 Budget'!$F$1:$AC$1&gt;=(E$1),'FY22 Budget'!$F$1:$AC$1&lt;(F$1)),'FY22 Budget'!$C$1:$C$71=$D3)),"""")"),709.92)</f>
        <v>709.92</v>
      </c>
      <c r="F3" s="60">
        <f>IFERROR(__xludf.DUMMYFUNCTION("IFERROR(SUM(FILTER(FILTER('FY22 Budget'!$F$1:$AC$71,'FY22 Budget'!$F$1:$AC$1&gt;=(F$1),'FY22 Budget'!$F$1:$AC$1&lt;(G$1)),'FY22 Budget'!$C$1:$C$71=$D3)),"""")"),709.92)</f>
        <v>709.92</v>
      </c>
      <c r="G3" s="60">
        <f>IFERROR(__xludf.DUMMYFUNCTION("IFERROR(SUM(FILTER(FILTER('FY22 Budget'!$F$1:$AC$71,'FY22 Budget'!$F$1:$AC$1&gt;=(G$1),'FY22 Budget'!$F$1:$AC$1&lt;(H$1)),'FY22 Budget'!$C$1:$C$71=$D3)),"""")"),709.92)</f>
        <v>709.92</v>
      </c>
      <c r="H3" s="60">
        <f>IFERROR(__xludf.DUMMYFUNCTION("IFERROR(SUM(FILTER(FILTER('FY22 Budget'!$F$1:$AC$71,'FY22 Budget'!$F$1:$AC$1&gt;=(H$1),'FY22 Budget'!$F$1:$AC$1&lt;(I$1)),'FY22 Budget'!$C$1:$C$71=$D3)),"""")"),709.92)</f>
        <v>709.92</v>
      </c>
      <c r="I3" s="60">
        <f>IFERROR(__xludf.DUMMYFUNCTION("IFERROR(SUM(FILTER(FILTER('FY22 Budget'!$F$1:$AC$71,'FY22 Budget'!$F$1:$AC$1&gt;=(I$1),'FY22 Budget'!$F$1:$AC$1&lt;(J$1)),'FY22 Budget'!$C$1:$C$71=$D3)),"""")"),709.92)</f>
        <v>709.92</v>
      </c>
      <c r="J3" s="60">
        <f>IFERROR(__xludf.DUMMYFUNCTION("IFERROR(SUM(FILTER(FILTER('FY22 Budget'!$F$1:$AC$71,'FY22 Budget'!$F$1:$AC$1&gt;=(J$1),'FY22 Budget'!$F$1:$AC$1&lt;(K$1)),'FY22 Budget'!$C$1:$C$71=$D3)),"""")"),709.92)</f>
        <v>709.92</v>
      </c>
      <c r="K3" s="60">
        <f>IFERROR(__xludf.DUMMYFUNCTION("IFERROR(SUM(FILTER(FILTER('FY22 Budget'!$F$1:$AC$71,'FY22 Budget'!$F$1:$AC$1&gt;=(K$1),'FY22 Budget'!$F$1:$AC$1&lt;(L$1)),'FY22 Budget'!$C$1:$C$71=$D3)),"""")"),709.92)</f>
        <v>709.92</v>
      </c>
      <c r="L3" s="60">
        <f>IFERROR(__xludf.DUMMYFUNCTION("IFERROR(SUM(FILTER(FILTER('FY22 Budget'!$F$1:$AC$71,'FY22 Budget'!$F$1:$AC$1&gt;=(L$1),'FY22 Budget'!$F$1:$AC$1&lt;(M$1)),'FY22 Budget'!$C$1:$C$71=$D3)),"""")"),709.92)</f>
        <v>709.92</v>
      </c>
      <c r="M3" s="60">
        <f>IFERROR(__xludf.DUMMYFUNCTION("IFERROR(SUM(FILTER(FILTER('FY22 Budget'!$F$1:$AC$71,'FY22 Budget'!$F$1:$AC$1&gt;=(M$1),'FY22 Budget'!$F$1:$AC$1&lt;(N$1)),'FY22 Budget'!$C$1:$C$71=$D3)),"""")"),709.92)</f>
        <v>709.92</v>
      </c>
      <c r="N3" s="60">
        <f>IFERROR(__xludf.DUMMYFUNCTION("IFERROR(SUM(FILTER(FILTER('FY22 Budget'!$F$1:$AC$71,'FY22 Budget'!$F$1:$AC$1&gt;=(N$1),'FY22 Budget'!$F$1:$AC$1&lt;(O$1)),'FY22 Budget'!$C$1:$C$71=$D3)),"""")"),709.92)</f>
        <v>709.92</v>
      </c>
      <c r="O3" s="60">
        <f>IFERROR(__xludf.DUMMYFUNCTION("IFERROR(SUM(FILTER(FILTER('FY22 Budget'!$F$1:$AC$71,'FY22 Budget'!$F$1:$AC$1&gt;=(O$1),'FY22 Budget'!$F$1:$AC$1&lt;(P$1)),'FY22 Budget'!$C$1:$C$71=$D3)),"""")"),709.92)</f>
        <v>709.92</v>
      </c>
      <c r="P3" s="60">
        <f>IFERROR(__xludf.DUMMYFUNCTION("IFERROR(SUM(FILTER(FILTER('FY22 Budget'!$F$1:$AC$71,'FY22 Budget'!$F$1:$AC$1&gt;=(P$1),'FY22 Budget'!$F$1:$AC$1&lt;(Q$1)),'FY22 Budget'!$C$1:$C$71=$D3)),"""")"),709.92)</f>
        <v>709.92</v>
      </c>
      <c r="Q3" s="48"/>
      <c r="R3" s="60"/>
      <c r="S3" s="60">
        <f t="shared" ref="S3:AD3" si="2">SUM($E3:E3)</f>
        <v>709.92</v>
      </c>
      <c r="T3" s="60">
        <f t="shared" si="2"/>
        <v>1419.84</v>
      </c>
      <c r="U3" s="60">
        <f t="shared" si="2"/>
        <v>2129.76</v>
      </c>
      <c r="V3" s="60">
        <f t="shared" si="2"/>
        <v>2839.68</v>
      </c>
      <c r="W3" s="60">
        <f t="shared" si="2"/>
        <v>3549.6</v>
      </c>
      <c r="X3" s="60">
        <f t="shared" si="2"/>
        <v>4259.52</v>
      </c>
      <c r="Y3" s="60">
        <f t="shared" si="2"/>
        <v>4969.44</v>
      </c>
      <c r="Z3" s="60">
        <f t="shared" si="2"/>
        <v>5679.36</v>
      </c>
      <c r="AA3" s="60">
        <f t="shared" si="2"/>
        <v>6389.28</v>
      </c>
      <c r="AB3" s="60">
        <f t="shared" si="2"/>
        <v>7099.2</v>
      </c>
      <c r="AC3" s="60">
        <f t="shared" si="2"/>
        <v>7809.12</v>
      </c>
      <c r="AD3" s="60">
        <f t="shared" si="2"/>
        <v>8519.04</v>
      </c>
      <c r="AE3" s="48"/>
    </row>
    <row r="4" hidden="1">
      <c r="A4" s="41" t="s">
        <v>14</v>
      </c>
      <c r="B4" s="41" t="s">
        <v>36</v>
      </c>
      <c r="C4" s="41" t="s">
        <v>17</v>
      </c>
      <c r="D4" s="59" t="s">
        <v>49</v>
      </c>
      <c r="E4" s="60">
        <f>IFERROR(__xludf.DUMMYFUNCTION("IFERROR(SUM(FILTER(FILTER('FY22 Budget'!$F$1:$AC$71,'FY22 Budget'!$F$1:$AC$1&gt;=(E$1),'FY22 Budget'!$F$1:$AC$1&lt;(F$1)),'FY22 Budget'!$C$1:$C$71=$D4)),"""")"),570.83)</f>
        <v>570.83</v>
      </c>
      <c r="F4" s="60">
        <f>IFERROR(__xludf.DUMMYFUNCTION("IFERROR(SUM(FILTER(FILTER('FY22 Budget'!$F$1:$AC$71,'FY22 Budget'!$F$1:$AC$1&gt;=(F$1),'FY22 Budget'!$F$1:$AC$1&lt;(G$1)),'FY22 Budget'!$C$1:$C$71=$D4)),"""")"),570.83)</f>
        <v>570.83</v>
      </c>
      <c r="G4" s="60">
        <f>IFERROR(__xludf.DUMMYFUNCTION("IFERROR(SUM(FILTER(FILTER('FY22 Budget'!$F$1:$AC$71,'FY22 Budget'!$F$1:$AC$1&gt;=(G$1),'FY22 Budget'!$F$1:$AC$1&lt;(H$1)),'FY22 Budget'!$C$1:$C$71=$D4)),"""")"),570.83)</f>
        <v>570.83</v>
      </c>
      <c r="H4" s="60">
        <f>IFERROR(__xludf.DUMMYFUNCTION("IFERROR(SUM(FILTER(FILTER('FY22 Budget'!$F$1:$AC$71,'FY22 Budget'!$F$1:$AC$1&gt;=(H$1),'FY22 Budget'!$F$1:$AC$1&lt;(I$1)),'FY22 Budget'!$C$1:$C$71=$D4)),"""")"),570.83)</f>
        <v>570.83</v>
      </c>
      <c r="I4" s="60">
        <f>IFERROR(__xludf.DUMMYFUNCTION("IFERROR(SUM(FILTER(FILTER('FY22 Budget'!$F$1:$AC$71,'FY22 Budget'!$F$1:$AC$1&gt;=(I$1),'FY22 Budget'!$F$1:$AC$1&lt;(J$1)),'FY22 Budget'!$C$1:$C$71=$D4)),"""")"),570.83)</f>
        <v>570.83</v>
      </c>
      <c r="J4" s="60">
        <f>IFERROR(__xludf.DUMMYFUNCTION("IFERROR(SUM(FILTER(FILTER('FY22 Budget'!$F$1:$AC$71,'FY22 Budget'!$F$1:$AC$1&gt;=(J$1),'FY22 Budget'!$F$1:$AC$1&lt;(K$1)),'FY22 Budget'!$C$1:$C$71=$D4)),"""")"),570.83)</f>
        <v>570.83</v>
      </c>
      <c r="K4" s="60">
        <f>IFERROR(__xludf.DUMMYFUNCTION("IFERROR(SUM(FILTER(FILTER('FY22 Budget'!$F$1:$AC$71,'FY22 Budget'!$F$1:$AC$1&gt;=(K$1),'FY22 Budget'!$F$1:$AC$1&lt;(L$1)),'FY22 Budget'!$C$1:$C$71=$D4)),"""")"),570.83)</f>
        <v>570.83</v>
      </c>
      <c r="L4" s="60">
        <f>IFERROR(__xludf.DUMMYFUNCTION("IFERROR(SUM(FILTER(FILTER('FY22 Budget'!$F$1:$AC$71,'FY22 Budget'!$F$1:$AC$1&gt;=(L$1),'FY22 Budget'!$F$1:$AC$1&lt;(M$1)),'FY22 Budget'!$C$1:$C$71=$D4)),"""")"),570.83)</f>
        <v>570.83</v>
      </c>
      <c r="M4" s="60">
        <f>IFERROR(__xludf.DUMMYFUNCTION("IFERROR(SUM(FILTER(FILTER('FY22 Budget'!$F$1:$AC$71,'FY22 Budget'!$F$1:$AC$1&gt;=(M$1),'FY22 Budget'!$F$1:$AC$1&lt;(N$1)),'FY22 Budget'!$C$1:$C$71=$D4)),"""")"),570.83)</f>
        <v>570.83</v>
      </c>
      <c r="N4" s="60">
        <f>IFERROR(__xludf.DUMMYFUNCTION("IFERROR(SUM(FILTER(FILTER('FY22 Budget'!$F$1:$AC$71,'FY22 Budget'!$F$1:$AC$1&gt;=(N$1),'FY22 Budget'!$F$1:$AC$1&lt;(O$1)),'FY22 Budget'!$C$1:$C$71=$D4)),"""")"),570.83)</f>
        <v>570.83</v>
      </c>
      <c r="O4" s="60">
        <f>IFERROR(__xludf.DUMMYFUNCTION("IFERROR(SUM(FILTER(FILTER('FY22 Budget'!$F$1:$AC$71,'FY22 Budget'!$F$1:$AC$1&gt;=(O$1),'FY22 Budget'!$F$1:$AC$1&lt;(P$1)),'FY22 Budget'!$C$1:$C$71=$D4)),"""")"),570.83)</f>
        <v>570.83</v>
      </c>
      <c r="P4" s="60">
        <f>IFERROR(__xludf.DUMMYFUNCTION("IFERROR(SUM(FILTER(FILTER('FY22 Budget'!$F$1:$AC$71,'FY22 Budget'!$F$1:$AC$1&gt;=(P$1),'FY22 Budget'!$F$1:$AC$1&lt;(Q$1)),'FY22 Budget'!$C$1:$C$71=$D4)),"""")"),570.83)</f>
        <v>570.83</v>
      </c>
      <c r="Q4" s="48"/>
      <c r="R4" s="60"/>
      <c r="S4" s="60">
        <f t="shared" ref="S4:AD4" si="3">SUM($E4:E4)</f>
        <v>570.83</v>
      </c>
      <c r="T4" s="60">
        <f t="shared" si="3"/>
        <v>1141.66</v>
      </c>
      <c r="U4" s="60">
        <f t="shared" si="3"/>
        <v>1712.49</v>
      </c>
      <c r="V4" s="60">
        <f t="shared" si="3"/>
        <v>2283.32</v>
      </c>
      <c r="W4" s="60">
        <f t="shared" si="3"/>
        <v>2854.15</v>
      </c>
      <c r="X4" s="60">
        <f t="shared" si="3"/>
        <v>3424.98</v>
      </c>
      <c r="Y4" s="60">
        <f t="shared" si="3"/>
        <v>3995.81</v>
      </c>
      <c r="Z4" s="60">
        <f t="shared" si="3"/>
        <v>4566.64</v>
      </c>
      <c r="AA4" s="60">
        <f t="shared" si="3"/>
        <v>5137.47</v>
      </c>
      <c r="AB4" s="60">
        <f t="shared" si="3"/>
        <v>5708.3</v>
      </c>
      <c r="AC4" s="60">
        <f t="shared" si="3"/>
        <v>6279.13</v>
      </c>
      <c r="AD4" s="60">
        <f t="shared" si="3"/>
        <v>6849.96</v>
      </c>
      <c r="AE4" s="48"/>
    </row>
    <row r="5" hidden="1">
      <c r="A5" s="41" t="s">
        <v>14</v>
      </c>
      <c r="B5" s="41" t="s">
        <v>36</v>
      </c>
      <c r="C5" s="41" t="s">
        <v>17</v>
      </c>
      <c r="D5" s="59" t="s">
        <v>50</v>
      </c>
      <c r="E5" s="60">
        <f>IFERROR(__xludf.DUMMYFUNCTION("IFERROR(SUM(FILTER(FILTER('FY22 Budget'!$F$1:$AC$71,'FY22 Budget'!$F$1:$AC$1&gt;=(E$1),'FY22 Budget'!$F$1:$AC$1&lt;(F$1)),'FY22 Budget'!$C$1:$C$71=$D5)),"""")"),35458.33)</f>
        <v>35458.33</v>
      </c>
      <c r="F5" s="60">
        <f>IFERROR(__xludf.DUMMYFUNCTION("IFERROR(SUM(FILTER(FILTER('FY22 Budget'!$F$1:$AC$71,'FY22 Budget'!$F$1:$AC$1&gt;=(F$1),'FY22 Budget'!$F$1:$AC$1&lt;(G$1)),'FY22 Budget'!$C$1:$C$71=$D5)),"""")"),35458.33)</f>
        <v>35458.33</v>
      </c>
      <c r="G5" s="60">
        <f>IFERROR(__xludf.DUMMYFUNCTION("IFERROR(SUM(FILTER(FILTER('FY22 Budget'!$F$1:$AC$71,'FY22 Budget'!$F$1:$AC$1&gt;=(G$1),'FY22 Budget'!$F$1:$AC$1&lt;(H$1)),'FY22 Budget'!$C$1:$C$71=$D5)),"""")"),35458.33)</f>
        <v>35458.33</v>
      </c>
      <c r="H5" s="60">
        <f>IFERROR(__xludf.DUMMYFUNCTION("IFERROR(SUM(FILTER(FILTER('FY22 Budget'!$F$1:$AC$71,'FY22 Budget'!$F$1:$AC$1&gt;=(H$1),'FY22 Budget'!$F$1:$AC$1&lt;(I$1)),'FY22 Budget'!$C$1:$C$71=$D5)),"""")"),35458.33)</f>
        <v>35458.33</v>
      </c>
      <c r="I5" s="60">
        <f>IFERROR(__xludf.DUMMYFUNCTION("IFERROR(SUM(FILTER(FILTER('FY22 Budget'!$F$1:$AC$71,'FY22 Budget'!$F$1:$AC$1&gt;=(I$1),'FY22 Budget'!$F$1:$AC$1&lt;(J$1)),'FY22 Budget'!$C$1:$C$71=$D5)),"""")"),35458.33)</f>
        <v>35458.33</v>
      </c>
      <c r="J5" s="60">
        <f>IFERROR(__xludf.DUMMYFUNCTION("IFERROR(SUM(FILTER(FILTER('FY22 Budget'!$F$1:$AC$71,'FY22 Budget'!$F$1:$AC$1&gt;=(J$1),'FY22 Budget'!$F$1:$AC$1&lt;(K$1)),'FY22 Budget'!$C$1:$C$71=$D5)),"""")"),35458.33)</f>
        <v>35458.33</v>
      </c>
      <c r="K5" s="60">
        <f>IFERROR(__xludf.DUMMYFUNCTION("IFERROR(SUM(FILTER(FILTER('FY22 Budget'!$F$1:$AC$71,'FY22 Budget'!$F$1:$AC$1&gt;=(K$1),'FY22 Budget'!$F$1:$AC$1&lt;(L$1)),'FY22 Budget'!$C$1:$C$71=$D5)),"""")"),35458.33)</f>
        <v>35458.33</v>
      </c>
      <c r="L5" s="60">
        <f>IFERROR(__xludf.DUMMYFUNCTION("IFERROR(SUM(FILTER(FILTER('FY22 Budget'!$F$1:$AC$71,'FY22 Budget'!$F$1:$AC$1&gt;=(L$1),'FY22 Budget'!$F$1:$AC$1&lt;(M$1)),'FY22 Budget'!$C$1:$C$71=$D5)),"""")"),35458.33)</f>
        <v>35458.33</v>
      </c>
      <c r="M5" s="60">
        <f>IFERROR(__xludf.DUMMYFUNCTION("IFERROR(SUM(FILTER(FILTER('FY22 Budget'!$F$1:$AC$71,'FY22 Budget'!$F$1:$AC$1&gt;=(M$1),'FY22 Budget'!$F$1:$AC$1&lt;(N$1)),'FY22 Budget'!$C$1:$C$71=$D5)),"""")"),35458.33)</f>
        <v>35458.33</v>
      </c>
      <c r="N5" s="60">
        <f>IFERROR(__xludf.DUMMYFUNCTION("IFERROR(SUM(FILTER(FILTER('FY22 Budget'!$F$1:$AC$71,'FY22 Budget'!$F$1:$AC$1&gt;=(N$1),'FY22 Budget'!$F$1:$AC$1&lt;(O$1)),'FY22 Budget'!$C$1:$C$71=$D5)),"""")"),35458.33)</f>
        <v>35458.33</v>
      </c>
      <c r="O5" s="60">
        <f>IFERROR(__xludf.DUMMYFUNCTION("IFERROR(SUM(FILTER(FILTER('FY22 Budget'!$F$1:$AC$71,'FY22 Budget'!$F$1:$AC$1&gt;=(O$1),'FY22 Budget'!$F$1:$AC$1&lt;(P$1)),'FY22 Budget'!$C$1:$C$71=$D5)),"""")"),35458.33)</f>
        <v>35458.33</v>
      </c>
      <c r="P5" s="60">
        <f>IFERROR(__xludf.DUMMYFUNCTION("IFERROR(SUM(FILTER(FILTER('FY22 Budget'!$F$1:$AC$71,'FY22 Budget'!$F$1:$AC$1&gt;=(P$1),'FY22 Budget'!$F$1:$AC$1&lt;(Q$1)),'FY22 Budget'!$C$1:$C$71=$D5)),"""")"),35458.33)</f>
        <v>35458.33</v>
      </c>
      <c r="Q5" s="48"/>
      <c r="R5" s="60"/>
      <c r="S5" s="60">
        <f t="shared" ref="S5:AD5" si="4">SUM($E5:E5)</f>
        <v>35458.33</v>
      </c>
      <c r="T5" s="60">
        <f t="shared" si="4"/>
        <v>70916.66</v>
      </c>
      <c r="U5" s="60">
        <f t="shared" si="4"/>
        <v>106374.99</v>
      </c>
      <c r="V5" s="60">
        <f t="shared" si="4"/>
        <v>141833.32</v>
      </c>
      <c r="W5" s="60">
        <f t="shared" si="4"/>
        <v>177291.65</v>
      </c>
      <c r="X5" s="60">
        <f t="shared" si="4"/>
        <v>212749.98</v>
      </c>
      <c r="Y5" s="60">
        <f t="shared" si="4"/>
        <v>248208.31</v>
      </c>
      <c r="Z5" s="60">
        <f t="shared" si="4"/>
        <v>283666.64</v>
      </c>
      <c r="AA5" s="60">
        <f t="shared" si="4"/>
        <v>319124.97</v>
      </c>
      <c r="AB5" s="60">
        <f t="shared" si="4"/>
        <v>354583.3</v>
      </c>
      <c r="AC5" s="60">
        <f t="shared" si="4"/>
        <v>390041.63</v>
      </c>
      <c r="AD5" s="60">
        <f t="shared" si="4"/>
        <v>425499.96</v>
      </c>
      <c r="AE5" s="48"/>
    </row>
    <row r="6" hidden="1">
      <c r="A6" s="41" t="s">
        <v>14</v>
      </c>
      <c r="B6" s="41" t="s">
        <v>36</v>
      </c>
      <c r="C6" s="41" t="s">
        <v>17</v>
      </c>
      <c r="D6" s="59" t="s">
        <v>51</v>
      </c>
      <c r="E6" s="60">
        <f>IFERROR(__xludf.DUMMYFUNCTION("IFERROR(SUM(FILTER(FILTER('FY22 Budget'!$F$1:$AC$71,'FY22 Budget'!$F$1:$AC$1&gt;=(E$1),'FY22 Budget'!$F$1:$AC$1&lt;(F$1)),'FY22 Budget'!$C$1:$C$71=$D6)),"""")"),578.42)</f>
        <v>578.42</v>
      </c>
      <c r="F6" s="60">
        <f>IFERROR(__xludf.DUMMYFUNCTION("IFERROR(SUM(FILTER(FILTER('FY22 Budget'!$F$1:$AC$71,'FY22 Budget'!$F$1:$AC$1&gt;=(F$1),'FY22 Budget'!$F$1:$AC$1&lt;(G$1)),'FY22 Budget'!$C$1:$C$71=$D6)),"""")"),578.42)</f>
        <v>578.42</v>
      </c>
      <c r="G6" s="60">
        <f>IFERROR(__xludf.DUMMYFUNCTION("IFERROR(SUM(FILTER(FILTER('FY22 Budget'!$F$1:$AC$71,'FY22 Budget'!$F$1:$AC$1&gt;=(G$1),'FY22 Budget'!$F$1:$AC$1&lt;(H$1)),'FY22 Budget'!$C$1:$C$71=$D6)),"""")"),578.42)</f>
        <v>578.42</v>
      </c>
      <c r="H6" s="60">
        <f>IFERROR(__xludf.DUMMYFUNCTION("IFERROR(SUM(FILTER(FILTER('FY22 Budget'!$F$1:$AC$71,'FY22 Budget'!$F$1:$AC$1&gt;=(H$1),'FY22 Budget'!$F$1:$AC$1&lt;(I$1)),'FY22 Budget'!$C$1:$C$71=$D6)),"""")"),578.42)</f>
        <v>578.42</v>
      </c>
      <c r="I6" s="60">
        <f>IFERROR(__xludf.DUMMYFUNCTION("IFERROR(SUM(FILTER(FILTER('FY22 Budget'!$F$1:$AC$71,'FY22 Budget'!$F$1:$AC$1&gt;=(I$1),'FY22 Budget'!$F$1:$AC$1&lt;(J$1)),'FY22 Budget'!$C$1:$C$71=$D6)),"""")"),578.42)</f>
        <v>578.42</v>
      </c>
      <c r="J6" s="60">
        <f>IFERROR(__xludf.DUMMYFUNCTION("IFERROR(SUM(FILTER(FILTER('FY22 Budget'!$F$1:$AC$71,'FY22 Budget'!$F$1:$AC$1&gt;=(J$1),'FY22 Budget'!$F$1:$AC$1&lt;(K$1)),'FY22 Budget'!$C$1:$C$71=$D6)),"""")"),578.42)</f>
        <v>578.42</v>
      </c>
      <c r="K6" s="60">
        <f>IFERROR(__xludf.DUMMYFUNCTION("IFERROR(SUM(FILTER(FILTER('FY22 Budget'!$F$1:$AC$71,'FY22 Budget'!$F$1:$AC$1&gt;=(K$1),'FY22 Budget'!$F$1:$AC$1&lt;(L$1)),'FY22 Budget'!$C$1:$C$71=$D6)),"""")"),578.42)</f>
        <v>578.42</v>
      </c>
      <c r="L6" s="60">
        <f>IFERROR(__xludf.DUMMYFUNCTION("IFERROR(SUM(FILTER(FILTER('FY22 Budget'!$F$1:$AC$71,'FY22 Budget'!$F$1:$AC$1&gt;=(L$1),'FY22 Budget'!$F$1:$AC$1&lt;(M$1)),'FY22 Budget'!$C$1:$C$71=$D6)),"""")"),578.42)</f>
        <v>578.42</v>
      </c>
      <c r="M6" s="60">
        <f>IFERROR(__xludf.DUMMYFUNCTION("IFERROR(SUM(FILTER(FILTER('FY22 Budget'!$F$1:$AC$71,'FY22 Budget'!$F$1:$AC$1&gt;=(M$1),'FY22 Budget'!$F$1:$AC$1&lt;(N$1)),'FY22 Budget'!$C$1:$C$71=$D6)),"""")"),578.42)</f>
        <v>578.42</v>
      </c>
      <c r="N6" s="60">
        <f>IFERROR(__xludf.DUMMYFUNCTION("IFERROR(SUM(FILTER(FILTER('FY22 Budget'!$F$1:$AC$71,'FY22 Budget'!$F$1:$AC$1&gt;=(N$1),'FY22 Budget'!$F$1:$AC$1&lt;(O$1)),'FY22 Budget'!$C$1:$C$71=$D6)),"""")"),578.42)</f>
        <v>578.42</v>
      </c>
      <c r="O6" s="60">
        <f>IFERROR(__xludf.DUMMYFUNCTION("IFERROR(SUM(FILTER(FILTER('FY22 Budget'!$F$1:$AC$71,'FY22 Budget'!$F$1:$AC$1&gt;=(O$1),'FY22 Budget'!$F$1:$AC$1&lt;(P$1)),'FY22 Budget'!$C$1:$C$71=$D6)),"""")"),578.42)</f>
        <v>578.42</v>
      </c>
      <c r="P6" s="60">
        <f>IFERROR(__xludf.DUMMYFUNCTION("IFERROR(SUM(FILTER(FILTER('FY22 Budget'!$F$1:$AC$71,'FY22 Budget'!$F$1:$AC$1&gt;=(P$1),'FY22 Budget'!$F$1:$AC$1&lt;(Q$1)),'FY22 Budget'!$C$1:$C$71=$D6)),"""")"),578.42)</f>
        <v>578.42</v>
      </c>
      <c r="Q6" s="48"/>
      <c r="R6" s="60"/>
      <c r="S6" s="60">
        <f t="shared" ref="S6:AD6" si="5">SUM($E6:E6)</f>
        <v>578.42</v>
      </c>
      <c r="T6" s="60">
        <f t="shared" si="5"/>
        <v>1156.84</v>
      </c>
      <c r="U6" s="60">
        <f t="shared" si="5"/>
        <v>1735.26</v>
      </c>
      <c r="V6" s="60">
        <f t="shared" si="5"/>
        <v>2313.68</v>
      </c>
      <c r="W6" s="60">
        <f t="shared" si="5"/>
        <v>2892.1</v>
      </c>
      <c r="X6" s="60">
        <f t="shared" si="5"/>
        <v>3470.52</v>
      </c>
      <c r="Y6" s="60">
        <f t="shared" si="5"/>
        <v>4048.94</v>
      </c>
      <c r="Z6" s="60">
        <f t="shared" si="5"/>
        <v>4627.36</v>
      </c>
      <c r="AA6" s="60">
        <f t="shared" si="5"/>
        <v>5205.78</v>
      </c>
      <c r="AB6" s="60">
        <f t="shared" si="5"/>
        <v>5784.2</v>
      </c>
      <c r="AC6" s="60">
        <f t="shared" si="5"/>
        <v>6362.62</v>
      </c>
      <c r="AD6" s="60">
        <f t="shared" si="5"/>
        <v>6941.04</v>
      </c>
      <c r="AE6" s="48"/>
    </row>
    <row r="7" hidden="1">
      <c r="A7" s="41" t="s">
        <v>14</v>
      </c>
      <c r="B7" s="41" t="s">
        <v>36</v>
      </c>
      <c r="C7" s="41" t="s">
        <v>16</v>
      </c>
      <c r="D7" s="59" t="s">
        <v>52</v>
      </c>
      <c r="E7" s="60">
        <f>IFERROR(__xludf.DUMMYFUNCTION("IFERROR(SUM(FILTER(FILTER('FY22 Budget'!$F$1:$AC$71,'FY22 Budget'!$F$1:$AC$1&gt;=(E$1),'FY22 Budget'!$F$1:$AC$1&lt;(F$1)),'FY22 Budget'!$C$1:$C$71=$D7)),"""")"),346763.0)</f>
        <v>346763</v>
      </c>
      <c r="F7" s="60">
        <f>IFERROR(__xludf.DUMMYFUNCTION("IFERROR(SUM(FILTER(FILTER('FY22 Budget'!$F$1:$AC$71,'FY22 Budget'!$F$1:$AC$1&gt;=(F$1),'FY22 Budget'!$F$1:$AC$1&lt;(G$1)),'FY22 Budget'!$C$1:$C$71=$D7)),"""")"),346763.0)</f>
        <v>346763</v>
      </c>
      <c r="G7" s="60">
        <f>IFERROR(__xludf.DUMMYFUNCTION("IFERROR(SUM(FILTER(FILTER('FY22 Budget'!$F$1:$AC$71,'FY22 Budget'!$F$1:$AC$1&gt;=(G$1),'FY22 Budget'!$F$1:$AC$1&lt;(H$1)),'FY22 Budget'!$C$1:$C$71=$D7)),"""")"),346763.0)</f>
        <v>346763</v>
      </c>
      <c r="H7" s="60">
        <f>IFERROR(__xludf.DUMMYFUNCTION("IFERROR(SUM(FILTER(FILTER('FY22 Budget'!$F$1:$AC$71,'FY22 Budget'!$F$1:$AC$1&gt;=(H$1),'FY22 Budget'!$F$1:$AC$1&lt;(I$1)),'FY22 Budget'!$C$1:$C$71=$D7)),"""")"),346763.0)</f>
        <v>346763</v>
      </c>
      <c r="I7" s="60">
        <f>IFERROR(__xludf.DUMMYFUNCTION("IFERROR(SUM(FILTER(FILTER('FY22 Budget'!$F$1:$AC$71,'FY22 Budget'!$F$1:$AC$1&gt;=(I$1),'FY22 Budget'!$F$1:$AC$1&lt;(J$1)),'FY22 Budget'!$C$1:$C$71=$D7)),"""")"),346763.0)</f>
        <v>346763</v>
      </c>
      <c r="J7" s="60">
        <f>IFERROR(__xludf.DUMMYFUNCTION("IFERROR(SUM(FILTER(FILTER('FY22 Budget'!$F$1:$AC$71,'FY22 Budget'!$F$1:$AC$1&gt;=(J$1),'FY22 Budget'!$F$1:$AC$1&lt;(K$1)),'FY22 Budget'!$C$1:$C$71=$D7)),"""")"),346763.0)</f>
        <v>346763</v>
      </c>
      <c r="K7" s="60">
        <f>IFERROR(__xludf.DUMMYFUNCTION("IFERROR(SUM(FILTER(FILTER('FY22 Budget'!$F$1:$AC$71,'FY22 Budget'!$F$1:$AC$1&gt;=(K$1),'FY22 Budget'!$F$1:$AC$1&lt;(L$1)),'FY22 Budget'!$C$1:$C$71=$D7)),"""")"),346763.0)</f>
        <v>346763</v>
      </c>
      <c r="L7" s="60">
        <f>IFERROR(__xludf.DUMMYFUNCTION("IFERROR(SUM(FILTER(FILTER('FY22 Budget'!$F$1:$AC$71,'FY22 Budget'!$F$1:$AC$1&gt;=(L$1),'FY22 Budget'!$F$1:$AC$1&lt;(M$1)),'FY22 Budget'!$C$1:$C$71=$D7)),"""")"),346763.0)</f>
        <v>346763</v>
      </c>
      <c r="M7" s="60">
        <f>IFERROR(__xludf.DUMMYFUNCTION("IFERROR(SUM(FILTER(FILTER('FY22 Budget'!$F$1:$AC$71,'FY22 Budget'!$F$1:$AC$1&gt;=(M$1),'FY22 Budget'!$F$1:$AC$1&lt;(N$1)),'FY22 Budget'!$C$1:$C$71=$D7)),"""")"),346763.0)</f>
        <v>346763</v>
      </c>
      <c r="N7" s="60">
        <f>IFERROR(__xludf.DUMMYFUNCTION("IFERROR(SUM(FILTER(FILTER('FY22 Budget'!$F$1:$AC$71,'FY22 Budget'!$F$1:$AC$1&gt;=(N$1),'FY22 Budget'!$F$1:$AC$1&lt;(O$1)),'FY22 Budget'!$C$1:$C$71=$D7)),"""")"),346763.0)</f>
        <v>346763</v>
      </c>
      <c r="O7" s="60">
        <f>IFERROR(__xludf.DUMMYFUNCTION("IFERROR(SUM(FILTER(FILTER('FY22 Budget'!$F$1:$AC$71,'FY22 Budget'!$F$1:$AC$1&gt;=(O$1),'FY22 Budget'!$F$1:$AC$1&lt;(P$1)),'FY22 Budget'!$C$1:$C$71=$D7)),"""")"),346763.0)</f>
        <v>346763</v>
      </c>
      <c r="P7" s="60">
        <f>IFERROR(__xludf.DUMMYFUNCTION("IFERROR(SUM(FILTER(FILTER('FY22 Budget'!$F$1:$AC$71,'FY22 Budget'!$F$1:$AC$1&gt;=(P$1),'FY22 Budget'!$F$1:$AC$1&lt;(Q$1)),'FY22 Budget'!$C$1:$C$71=$D7)),"""")"),346763.0)</f>
        <v>346763</v>
      </c>
      <c r="Q7" s="48"/>
      <c r="R7" s="60"/>
      <c r="S7" s="60">
        <f t="shared" ref="S7:AD7" si="6">SUM($E7:E7)</f>
        <v>346763</v>
      </c>
      <c r="T7" s="60">
        <f t="shared" si="6"/>
        <v>693526</v>
      </c>
      <c r="U7" s="60">
        <f t="shared" si="6"/>
        <v>1040289</v>
      </c>
      <c r="V7" s="60">
        <f t="shared" si="6"/>
        <v>1387052</v>
      </c>
      <c r="W7" s="60">
        <f t="shared" si="6"/>
        <v>1733815</v>
      </c>
      <c r="X7" s="60">
        <f t="shared" si="6"/>
        <v>2080578</v>
      </c>
      <c r="Y7" s="60">
        <f t="shared" si="6"/>
        <v>2427341</v>
      </c>
      <c r="Z7" s="60">
        <f t="shared" si="6"/>
        <v>2774104</v>
      </c>
      <c r="AA7" s="60">
        <f t="shared" si="6"/>
        <v>3120867</v>
      </c>
      <c r="AB7" s="60">
        <f t="shared" si="6"/>
        <v>3467630</v>
      </c>
      <c r="AC7" s="60">
        <f t="shared" si="6"/>
        <v>3814393</v>
      </c>
      <c r="AD7" s="60">
        <f t="shared" si="6"/>
        <v>4161156</v>
      </c>
      <c r="AE7" s="48"/>
    </row>
    <row r="8" hidden="1">
      <c r="A8" s="41" t="s">
        <v>14</v>
      </c>
      <c r="B8" s="41" t="s">
        <v>36</v>
      </c>
      <c r="C8" s="41" t="s">
        <v>16</v>
      </c>
      <c r="D8" s="59" t="s">
        <v>53</v>
      </c>
      <c r="E8" s="60">
        <f>IFERROR(__xludf.DUMMYFUNCTION("IFERROR(SUM(FILTER(FILTER('FY22 Budget'!$F$1:$AC$71,'FY22 Budget'!$F$1:$AC$1&gt;=(E$1),'FY22 Budget'!$F$1:$AC$1&lt;(F$1)),'FY22 Budget'!$C$1:$C$71=$D8)),"""")"),6774.92)</f>
        <v>6774.92</v>
      </c>
      <c r="F8" s="60">
        <f>IFERROR(__xludf.DUMMYFUNCTION("IFERROR(SUM(FILTER(FILTER('FY22 Budget'!$F$1:$AC$71,'FY22 Budget'!$F$1:$AC$1&gt;=(F$1),'FY22 Budget'!$F$1:$AC$1&lt;(G$1)),'FY22 Budget'!$C$1:$C$71=$D8)),"""")"),6774.92)</f>
        <v>6774.92</v>
      </c>
      <c r="G8" s="60">
        <f>IFERROR(__xludf.DUMMYFUNCTION("IFERROR(SUM(FILTER(FILTER('FY22 Budget'!$F$1:$AC$71,'FY22 Budget'!$F$1:$AC$1&gt;=(G$1),'FY22 Budget'!$F$1:$AC$1&lt;(H$1)),'FY22 Budget'!$C$1:$C$71=$D8)),"""")"),6774.92)</f>
        <v>6774.92</v>
      </c>
      <c r="H8" s="60">
        <f>IFERROR(__xludf.DUMMYFUNCTION("IFERROR(SUM(FILTER(FILTER('FY22 Budget'!$F$1:$AC$71,'FY22 Budget'!$F$1:$AC$1&gt;=(H$1),'FY22 Budget'!$F$1:$AC$1&lt;(I$1)),'FY22 Budget'!$C$1:$C$71=$D8)),"""")"),6774.92)</f>
        <v>6774.92</v>
      </c>
      <c r="I8" s="60">
        <f>IFERROR(__xludf.DUMMYFUNCTION("IFERROR(SUM(FILTER(FILTER('FY22 Budget'!$F$1:$AC$71,'FY22 Budget'!$F$1:$AC$1&gt;=(I$1),'FY22 Budget'!$F$1:$AC$1&lt;(J$1)),'FY22 Budget'!$C$1:$C$71=$D8)),"""")"),6774.92)</f>
        <v>6774.92</v>
      </c>
      <c r="J8" s="60">
        <f>IFERROR(__xludf.DUMMYFUNCTION("IFERROR(SUM(FILTER(FILTER('FY22 Budget'!$F$1:$AC$71,'FY22 Budget'!$F$1:$AC$1&gt;=(J$1),'FY22 Budget'!$F$1:$AC$1&lt;(K$1)),'FY22 Budget'!$C$1:$C$71=$D8)),"""")"),6774.92)</f>
        <v>6774.92</v>
      </c>
      <c r="K8" s="60">
        <f>IFERROR(__xludf.DUMMYFUNCTION("IFERROR(SUM(FILTER(FILTER('FY22 Budget'!$F$1:$AC$71,'FY22 Budget'!$F$1:$AC$1&gt;=(K$1),'FY22 Budget'!$F$1:$AC$1&lt;(L$1)),'FY22 Budget'!$C$1:$C$71=$D8)),"""")"),6774.92)</f>
        <v>6774.92</v>
      </c>
      <c r="L8" s="60">
        <f>IFERROR(__xludf.DUMMYFUNCTION("IFERROR(SUM(FILTER(FILTER('FY22 Budget'!$F$1:$AC$71,'FY22 Budget'!$F$1:$AC$1&gt;=(L$1),'FY22 Budget'!$F$1:$AC$1&lt;(M$1)),'FY22 Budget'!$C$1:$C$71=$D8)),"""")"),6774.92)</f>
        <v>6774.92</v>
      </c>
      <c r="M8" s="60">
        <f>IFERROR(__xludf.DUMMYFUNCTION("IFERROR(SUM(FILTER(FILTER('FY22 Budget'!$F$1:$AC$71,'FY22 Budget'!$F$1:$AC$1&gt;=(M$1),'FY22 Budget'!$F$1:$AC$1&lt;(N$1)),'FY22 Budget'!$C$1:$C$71=$D8)),"""")"),6774.92)</f>
        <v>6774.92</v>
      </c>
      <c r="N8" s="60">
        <f>IFERROR(__xludf.DUMMYFUNCTION("IFERROR(SUM(FILTER(FILTER('FY22 Budget'!$F$1:$AC$71,'FY22 Budget'!$F$1:$AC$1&gt;=(N$1),'FY22 Budget'!$F$1:$AC$1&lt;(O$1)),'FY22 Budget'!$C$1:$C$71=$D8)),"""")"),6774.92)</f>
        <v>6774.92</v>
      </c>
      <c r="O8" s="60">
        <f>IFERROR(__xludf.DUMMYFUNCTION("IFERROR(SUM(FILTER(FILTER('FY22 Budget'!$F$1:$AC$71,'FY22 Budget'!$F$1:$AC$1&gt;=(O$1),'FY22 Budget'!$F$1:$AC$1&lt;(P$1)),'FY22 Budget'!$C$1:$C$71=$D8)),"""")"),6774.92)</f>
        <v>6774.92</v>
      </c>
      <c r="P8" s="60">
        <f>IFERROR(__xludf.DUMMYFUNCTION("IFERROR(SUM(FILTER(FILTER('FY22 Budget'!$F$1:$AC$71,'FY22 Budget'!$F$1:$AC$1&gt;=(P$1),'FY22 Budget'!$F$1:$AC$1&lt;(Q$1)),'FY22 Budget'!$C$1:$C$71=$D8)),"""")"),6774.92)</f>
        <v>6774.92</v>
      </c>
      <c r="Q8" s="48"/>
      <c r="R8" s="60"/>
      <c r="S8" s="60">
        <f t="shared" ref="S8:AD8" si="7">SUM($E8:E8)</f>
        <v>6774.92</v>
      </c>
      <c r="T8" s="60">
        <f t="shared" si="7"/>
        <v>13549.84</v>
      </c>
      <c r="U8" s="60">
        <f t="shared" si="7"/>
        <v>20324.76</v>
      </c>
      <c r="V8" s="60">
        <f t="shared" si="7"/>
        <v>27099.68</v>
      </c>
      <c r="W8" s="60">
        <f t="shared" si="7"/>
        <v>33874.6</v>
      </c>
      <c r="X8" s="60">
        <f t="shared" si="7"/>
        <v>40649.52</v>
      </c>
      <c r="Y8" s="60">
        <f t="shared" si="7"/>
        <v>47424.44</v>
      </c>
      <c r="Z8" s="60">
        <f t="shared" si="7"/>
        <v>54199.36</v>
      </c>
      <c r="AA8" s="60">
        <f t="shared" si="7"/>
        <v>60974.28</v>
      </c>
      <c r="AB8" s="60">
        <f t="shared" si="7"/>
        <v>67749.2</v>
      </c>
      <c r="AC8" s="60">
        <f t="shared" si="7"/>
        <v>74524.12</v>
      </c>
      <c r="AD8" s="60">
        <f t="shared" si="7"/>
        <v>81299.04</v>
      </c>
      <c r="AE8" s="48"/>
    </row>
    <row r="9" hidden="1">
      <c r="A9" s="41" t="s">
        <v>14</v>
      </c>
      <c r="B9" s="41" t="s">
        <v>36</v>
      </c>
      <c r="C9" s="41" t="s">
        <v>15</v>
      </c>
      <c r="D9" s="59" t="s">
        <v>54</v>
      </c>
      <c r="E9" s="60">
        <f>IFERROR(__xludf.DUMMYFUNCTION("IFERROR(SUM(FILTER(FILTER('FY22 Budget'!$F$1:$AC$71,'FY22 Budget'!$F$1:$AC$1&gt;=(E$1),'FY22 Budget'!$F$1:$AC$1&lt;(F$1)),'FY22 Budget'!$C$1:$C$71=$D9)),"""")"),4965.64)</f>
        <v>4965.64</v>
      </c>
      <c r="F9" s="60">
        <f>IFERROR(__xludf.DUMMYFUNCTION("IFERROR(SUM(FILTER(FILTER('FY22 Budget'!$F$1:$AC$71,'FY22 Budget'!$F$1:$AC$1&gt;=(F$1),'FY22 Budget'!$F$1:$AC$1&lt;(G$1)),'FY22 Budget'!$C$1:$C$71=$D9)),"""")"),4965.64)</f>
        <v>4965.64</v>
      </c>
      <c r="G9" s="60">
        <f>IFERROR(__xludf.DUMMYFUNCTION("IFERROR(SUM(FILTER(FILTER('FY22 Budget'!$F$1:$AC$71,'FY22 Budget'!$F$1:$AC$1&gt;=(G$1),'FY22 Budget'!$F$1:$AC$1&lt;(H$1)),'FY22 Budget'!$C$1:$C$71=$D9)),"""")"),4965.64)</f>
        <v>4965.64</v>
      </c>
      <c r="H9" s="60">
        <f>IFERROR(__xludf.DUMMYFUNCTION("IFERROR(SUM(FILTER(FILTER('FY22 Budget'!$F$1:$AC$71,'FY22 Budget'!$F$1:$AC$1&gt;=(H$1),'FY22 Budget'!$F$1:$AC$1&lt;(I$1)),'FY22 Budget'!$C$1:$C$71=$D9)),"""")"),4965.64)</f>
        <v>4965.64</v>
      </c>
      <c r="I9" s="60">
        <f>IFERROR(__xludf.DUMMYFUNCTION("IFERROR(SUM(FILTER(FILTER('FY22 Budget'!$F$1:$AC$71,'FY22 Budget'!$F$1:$AC$1&gt;=(I$1),'FY22 Budget'!$F$1:$AC$1&lt;(J$1)),'FY22 Budget'!$C$1:$C$71=$D9)),"""")"),4965.64)</f>
        <v>4965.64</v>
      </c>
      <c r="J9" s="60">
        <f>IFERROR(__xludf.DUMMYFUNCTION("IFERROR(SUM(FILTER(FILTER('FY22 Budget'!$F$1:$AC$71,'FY22 Budget'!$F$1:$AC$1&gt;=(J$1),'FY22 Budget'!$F$1:$AC$1&lt;(K$1)),'FY22 Budget'!$C$1:$C$71=$D9)),"""")"),4965.64)</f>
        <v>4965.64</v>
      </c>
      <c r="K9" s="60">
        <f>IFERROR(__xludf.DUMMYFUNCTION("IFERROR(SUM(FILTER(FILTER('FY22 Budget'!$F$1:$AC$71,'FY22 Budget'!$F$1:$AC$1&gt;=(K$1),'FY22 Budget'!$F$1:$AC$1&lt;(L$1)),'FY22 Budget'!$C$1:$C$71=$D9)),"""")"),4965.64)</f>
        <v>4965.64</v>
      </c>
      <c r="L9" s="60">
        <f>IFERROR(__xludf.DUMMYFUNCTION("IFERROR(SUM(FILTER(FILTER('FY22 Budget'!$F$1:$AC$71,'FY22 Budget'!$F$1:$AC$1&gt;=(L$1),'FY22 Budget'!$F$1:$AC$1&lt;(M$1)),'FY22 Budget'!$C$1:$C$71=$D9)),"""")"),4965.64)</f>
        <v>4965.64</v>
      </c>
      <c r="M9" s="60">
        <f>IFERROR(__xludf.DUMMYFUNCTION("IFERROR(SUM(FILTER(FILTER('FY22 Budget'!$F$1:$AC$71,'FY22 Budget'!$F$1:$AC$1&gt;=(M$1),'FY22 Budget'!$F$1:$AC$1&lt;(N$1)),'FY22 Budget'!$C$1:$C$71=$D9)),"""")"),4965.64)</f>
        <v>4965.64</v>
      </c>
      <c r="N9" s="60">
        <f>IFERROR(__xludf.DUMMYFUNCTION("IFERROR(SUM(FILTER(FILTER('FY22 Budget'!$F$1:$AC$71,'FY22 Budget'!$F$1:$AC$1&gt;=(N$1),'FY22 Budget'!$F$1:$AC$1&lt;(O$1)),'FY22 Budget'!$C$1:$C$71=$D9)),"""")"),4965.64)</f>
        <v>4965.64</v>
      </c>
      <c r="O9" s="60">
        <f>IFERROR(__xludf.DUMMYFUNCTION("IFERROR(SUM(FILTER(FILTER('FY22 Budget'!$F$1:$AC$71,'FY22 Budget'!$F$1:$AC$1&gt;=(O$1),'FY22 Budget'!$F$1:$AC$1&lt;(P$1)),'FY22 Budget'!$C$1:$C$71=$D9)),"""")"),4965.64)</f>
        <v>4965.64</v>
      </c>
      <c r="P9" s="60">
        <f>IFERROR(__xludf.DUMMYFUNCTION("IFERROR(SUM(FILTER(FILTER('FY22 Budget'!$F$1:$AC$71,'FY22 Budget'!$F$1:$AC$1&gt;=(P$1),'FY22 Budget'!$F$1:$AC$1&lt;(Q$1)),'FY22 Budget'!$C$1:$C$71=$D9)),"""")"),4965.64)</f>
        <v>4965.64</v>
      </c>
      <c r="Q9" s="48"/>
      <c r="R9" s="60"/>
      <c r="S9" s="60">
        <f t="shared" ref="S9:AD9" si="8">SUM($E9:E9)</f>
        <v>4965.64</v>
      </c>
      <c r="T9" s="60">
        <f t="shared" si="8"/>
        <v>9931.28</v>
      </c>
      <c r="U9" s="60">
        <f t="shared" si="8"/>
        <v>14896.92</v>
      </c>
      <c r="V9" s="60">
        <f t="shared" si="8"/>
        <v>19862.56</v>
      </c>
      <c r="W9" s="60">
        <f t="shared" si="8"/>
        <v>24828.2</v>
      </c>
      <c r="X9" s="60">
        <f t="shared" si="8"/>
        <v>29793.84</v>
      </c>
      <c r="Y9" s="60">
        <f t="shared" si="8"/>
        <v>34759.48</v>
      </c>
      <c r="Z9" s="60">
        <f t="shared" si="8"/>
        <v>39725.12</v>
      </c>
      <c r="AA9" s="60">
        <f t="shared" si="8"/>
        <v>44690.76</v>
      </c>
      <c r="AB9" s="60">
        <f t="shared" si="8"/>
        <v>49656.4</v>
      </c>
      <c r="AC9" s="60">
        <f t="shared" si="8"/>
        <v>54622.04</v>
      </c>
      <c r="AD9" s="60">
        <f t="shared" si="8"/>
        <v>59587.68</v>
      </c>
      <c r="AE9" s="48"/>
    </row>
    <row r="10" hidden="1">
      <c r="A10" s="41" t="s">
        <v>14</v>
      </c>
      <c r="B10" s="41" t="s">
        <v>36</v>
      </c>
      <c r="C10" s="41" t="s">
        <v>15</v>
      </c>
      <c r="D10" s="59" t="s">
        <v>55</v>
      </c>
      <c r="E10" s="60" t="str">
        <f>IFERROR(__xludf.DUMMYFUNCTION("IFERROR(SUM(FILTER(FILTER('FY22 Budget'!$F$1:$AC$71,'FY22 Budget'!$F$1:$AC$1&gt;=(E$1),'FY22 Budget'!$F$1:$AC$1&lt;(F$1)),'FY22 Budget'!$C$1:$C$71=$D10)),"""")"),"")</f>
        <v/>
      </c>
      <c r="F10" s="60" t="str">
        <f>IFERROR(__xludf.DUMMYFUNCTION("IFERROR(SUM(FILTER(FILTER('FY22 Budget'!$F$1:$AC$71,'FY22 Budget'!$F$1:$AC$1&gt;=(F$1),'FY22 Budget'!$F$1:$AC$1&lt;(G$1)),'FY22 Budget'!$C$1:$C$71=$D10)),"""")"),"")</f>
        <v/>
      </c>
      <c r="G10" s="60" t="str">
        <f>IFERROR(__xludf.DUMMYFUNCTION("IFERROR(SUM(FILTER(FILTER('FY22 Budget'!$F$1:$AC$71,'FY22 Budget'!$F$1:$AC$1&gt;=(G$1),'FY22 Budget'!$F$1:$AC$1&lt;(H$1)),'FY22 Budget'!$C$1:$C$71=$D10)),"""")"),"")</f>
        <v/>
      </c>
      <c r="H10" s="60" t="str">
        <f>IFERROR(__xludf.DUMMYFUNCTION("IFERROR(SUM(FILTER(FILTER('FY22 Budget'!$F$1:$AC$71,'FY22 Budget'!$F$1:$AC$1&gt;=(H$1),'FY22 Budget'!$F$1:$AC$1&lt;(I$1)),'FY22 Budget'!$C$1:$C$71=$D10)),"""")"),"")</f>
        <v/>
      </c>
      <c r="I10" s="60" t="str">
        <f>IFERROR(__xludf.DUMMYFUNCTION("IFERROR(SUM(FILTER(FILTER('FY22 Budget'!$F$1:$AC$71,'FY22 Budget'!$F$1:$AC$1&gt;=(I$1),'FY22 Budget'!$F$1:$AC$1&lt;(J$1)),'FY22 Budget'!$C$1:$C$71=$D10)),"""")"),"")</f>
        <v/>
      </c>
      <c r="J10" s="60" t="str">
        <f>IFERROR(__xludf.DUMMYFUNCTION("IFERROR(SUM(FILTER(FILTER('FY22 Budget'!$F$1:$AC$71,'FY22 Budget'!$F$1:$AC$1&gt;=(J$1),'FY22 Budget'!$F$1:$AC$1&lt;(K$1)),'FY22 Budget'!$C$1:$C$71=$D10)),"""")"),"")</f>
        <v/>
      </c>
      <c r="K10" s="60" t="str">
        <f>IFERROR(__xludf.DUMMYFUNCTION("IFERROR(SUM(FILTER(FILTER('FY22 Budget'!$F$1:$AC$71,'FY22 Budget'!$F$1:$AC$1&gt;=(K$1),'FY22 Budget'!$F$1:$AC$1&lt;(L$1)),'FY22 Budget'!$C$1:$C$71=$D10)),"""")"),"")</f>
        <v/>
      </c>
      <c r="L10" s="60" t="str">
        <f>IFERROR(__xludf.DUMMYFUNCTION("IFERROR(SUM(FILTER(FILTER('FY22 Budget'!$F$1:$AC$71,'FY22 Budget'!$F$1:$AC$1&gt;=(L$1),'FY22 Budget'!$F$1:$AC$1&lt;(M$1)),'FY22 Budget'!$C$1:$C$71=$D10)),"""")"),"")</f>
        <v/>
      </c>
      <c r="M10" s="60" t="str">
        <f>IFERROR(__xludf.DUMMYFUNCTION("IFERROR(SUM(FILTER(FILTER('FY22 Budget'!$F$1:$AC$71,'FY22 Budget'!$F$1:$AC$1&gt;=(M$1),'FY22 Budget'!$F$1:$AC$1&lt;(N$1)),'FY22 Budget'!$C$1:$C$71=$D10)),"""")"),"")</f>
        <v/>
      </c>
      <c r="N10" s="60" t="str">
        <f>IFERROR(__xludf.DUMMYFUNCTION("IFERROR(SUM(FILTER(FILTER('FY22 Budget'!$F$1:$AC$71,'FY22 Budget'!$F$1:$AC$1&gt;=(N$1),'FY22 Budget'!$F$1:$AC$1&lt;(O$1)),'FY22 Budget'!$C$1:$C$71=$D10)),"""")"),"")</f>
        <v/>
      </c>
      <c r="O10" s="60" t="str">
        <f>IFERROR(__xludf.DUMMYFUNCTION("IFERROR(SUM(FILTER(FILTER('FY22 Budget'!$F$1:$AC$71,'FY22 Budget'!$F$1:$AC$1&gt;=(O$1),'FY22 Budget'!$F$1:$AC$1&lt;(P$1)),'FY22 Budget'!$C$1:$C$71=$D10)),"""")"),"")</f>
        <v/>
      </c>
      <c r="P10" s="60" t="str">
        <f>IFERROR(__xludf.DUMMYFUNCTION("IFERROR(SUM(FILTER(FILTER('FY22 Budget'!$F$1:$AC$71,'FY22 Budget'!$F$1:$AC$1&gt;=(P$1),'FY22 Budget'!$F$1:$AC$1&lt;(Q$1)),'FY22 Budget'!$C$1:$C$71=$D10)),"""")"),"")</f>
        <v/>
      </c>
      <c r="Q10" s="48"/>
      <c r="R10" s="60"/>
      <c r="S10" s="60">
        <f t="shared" ref="S10:AD10" si="9">SUM($E10:E10)</f>
        <v>0</v>
      </c>
      <c r="T10" s="60">
        <f t="shared" si="9"/>
        <v>0</v>
      </c>
      <c r="U10" s="60">
        <f t="shared" si="9"/>
        <v>0</v>
      </c>
      <c r="V10" s="60">
        <f t="shared" si="9"/>
        <v>0</v>
      </c>
      <c r="W10" s="60">
        <f t="shared" si="9"/>
        <v>0</v>
      </c>
      <c r="X10" s="60">
        <f t="shared" si="9"/>
        <v>0</v>
      </c>
      <c r="Y10" s="60">
        <f t="shared" si="9"/>
        <v>0</v>
      </c>
      <c r="Z10" s="60">
        <f t="shared" si="9"/>
        <v>0</v>
      </c>
      <c r="AA10" s="60">
        <f t="shared" si="9"/>
        <v>0</v>
      </c>
      <c r="AB10" s="60">
        <f t="shared" si="9"/>
        <v>0</v>
      </c>
      <c r="AC10" s="60">
        <f t="shared" si="9"/>
        <v>0</v>
      </c>
      <c r="AD10" s="60">
        <f t="shared" si="9"/>
        <v>0</v>
      </c>
      <c r="AE10" s="48"/>
    </row>
    <row r="11" hidden="1">
      <c r="A11" s="41" t="s">
        <v>14</v>
      </c>
      <c r="B11" s="41" t="s">
        <v>36</v>
      </c>
      <c r="C11" s="41" t="s">
        <v>15</v>
      </c>
      <c r="D11" s="59" t="s">
        <v>56</v>
      </c>
      <c r="E11" s="60">
        <f>IFERROR(__xludf.DUMMYFUNCTION("IFERROR(SUM(FILTER(FILTER('FY22 Budget'!$F$1:$AC$71,'FY22 Budget'!$F$1:$AC$1&gt;=(E$1),'FY22 Budget'!$F$1:$AC$1&lt;(F$1)),'FY22 Budget'!$C$1:$C$71=$D11)),"""")"),0.0)</f>
        <v>0</v>
      </c>
      <c r="F11" s="60">
        <f>IFERROR(__xludf.DUMMYFUNCTION("IFERROR(SUM(FILTER(FILTER('FY22 Budget'!$F$1:$AC$71,'FY22 Budget'!$F$1:$AC$1&gt;=(F$1),'FY22 Budget'!$F$1:$AC$1&lt;(G$1)),'FY22 Budget'!$C$1:$C$71=$D11)),"""")"),0.0)</f>
        <v>0</v>
      </c>
      <c r="G11" s="60">
        <f>IFERROR(__xludf.DUMMYFUNCTION("IFERROR(SUM(FILTER(FILTER('FY22 Budget'!$F$1:$AC$71,'FY22 Budget'!$F$1:$AC$1&gt;=(G$1),'FY22 Budget'!$F$1:$AC$1&lt;(H$1)),'FY22 Budget'!$C$1:$C$71=$D11)),"""")"),0.0)</f>
        <v>0</v>
      </c>
      <c r="H11" s="60">
        <f>IFERROR(__xludf.DUMMYFUNCTION("IFERROR(SUM(FILTER(FILTER('FY22 Budget'!$F$1:$AC$71,'FY22 Budget'!$F$1:$AC$1&gt;=(H$1),'FY22 Budget'!$F$1:$AC$1&lt;(I$1)),'FY22 Budget'!$C$1:$C$71=$D11)),"""")"),0.0)</f>
        <v>0</v>
      </c>
      <c r="I11" s="60">
        <f>IFERROR(__xludf.DUMMYFUNCTION("IFERROR(SUM(FILTER(FILTER('FY22 Budget'!$F$1:$AC$71,'FY22 Budget'!$F$1:$AC$1&gt;=(I$1),'FY22 Budget'!$F$1:$AC$1&lt;(J$1)),'FY22 Budget'!$C$1:$C$71=$D11)),"""")"),0.0)</f>
        <v>0</v>
      </c>
      <c r="J11" s="60">
        <f>IFERROR(__xludf.DUMMYFUNCTION("IFERROR(SUM(FILTER(FILTER('FY22 Budget'!$F$1:$AC$71,'FY22 Budget'!$F$1:$AC$1&gt;=(J$1),'FY22 Budget'!$F$1:$AC$1&lt;(K$1)),'FY22 Budget'!$C$1:$C$71=$D11)),"""")"),0.0)</f>
        <v>0</v>
      </c>
      <c r="K11" s="60">
        <f>IFERROR(__xludf.DUMMYFUNCTION("IFERROR(SUM(FILTER(FILTER('FY22 Budget'!$F$1:$AC$71,'FY22 Budget'!$F$1:$AC$1&gt;=(K$1),'FY22 Budget'!$F$1:$AC$1&lt;(L$1)),'FY22 Budget'!$C$1:$C$71=$D11)),"""")"),0.0)</f>
        <v>0</v>
      </c>
      <c r="L11" s="60">
        <f>IFERROR(__xludf.DUMMYFUNCTION("IFERROR(SUM(FILTER(FILTER('FY22 Budget'!$F$1:$AC$71,'FY22 Budget'!$F$1:$AC$1&gt;=(L$1),'FY22 Budget'!$F$1:$AC$1&lt;(M$1)),'FY22 Budget'!$C$1:$C$71=$D11)),"""")"),70000.0)</f>
        <v>70000</v>
      </c>
      <c r="M11" s="60">
        <f>IFERROR(__xludf.DUMMYFUNCTION("IFERROR(SUM(FILTER(FILTER('FY22 Budget'!$F$1:$AC$71,'FY22 Budget'!$F$1:$AC$1&gt;=(M$1),'FY22 Budget'!$F$1:$AC$1&lt;(N$1)),'FY22 Budget'!$C$1:$C$71=$D11)),"""")"),0.0)</f>
        <v>0</v>
      </c>
      <c r="N11" s="60">
        <f>IFERROR(__xludf.DUMMYFUNCTION("IFERROR(SUM(FILTER(FILTER('FY22 Budget'!$F$1:$AC$71,'FY22 Budget'!$F$1:$AC$1&gt;=(N$1),'FY22 Budget'!$F$1:$AC$1&lt;(O$1)),'FY22 Budget'!$C$1:$C$71=$D11)),"""")"),0.0)</f>
        <v>0</v>
      </c>
      <c r="O11" s="60">
        <f>IFERROR(__xludf.DUMMYFUNCTION("IFERROR(SUM(FILTER(FILTER('FY22 Budget'!$F$1:$AC$71,'FY22 Budget'!$F$1:$AC$1&gt;=(O$1),'FY22 Budget'!$F$1:$AC$1&lt;(P$1)),'FY22 Budget'!$C$1:$C$71=$D11)),"""")"),0.0)</f>
        <v>0</v>
      </c>
      <c r="P11" s="60">
        <f>IFERROR(__xludf.DUMMYFUNCTION("IFERROR(SUM(FILTER(FILTER('FY22 Budget'!$F$1:$AC$71,'FY22 Budget'!$F$1:$AC$1&gt;=(P$1),'FY22 Budget'!$F$1:$AC$1&lt;(Q$1)),'FY22 Budget'!$C$1:$C$71=$D11)),"""")"),0.0)</f>
        <v>0</v>
      </c>
      <c r="Q11" s="48"/>
      <c r="R11" s="60"/>
      <c r="S11" s="60">
        <f t="shared" ref="S11:AD11" si="10">SUM($E11:E11)</f>
        <v>0</v>
      </c>
      <c r="T11" s="60">
        <f t="shared" si="10"/>
        <v>0</v>
      </c>
      <c r="U11" s="60">
        <f t="shared" si="10"/>
        <v>0</v>
      </c>
      <c r="V11" s="60">
        <f t="shared" si="10"/>
        <v>0</v>
      </c>
      <c r="W11" s="60">
        <f t="shared" si="10"/>
        <v>0</v>
      </c>
      <c r="X11" s="60">
        <f t="shared" si="10"/>
        <v>0</v>
      </c>
      <c r="Y11" s="60">
        <f t="shared" si="10"/>
        <v>0</v>
      </c>
      <c r="Z11" s="60">
        <f t="shared" si="10"/>
        <v>70000</v>
      </c>
      <c r="AA11" s="60">
        <f t="shared" si="10"/>
        <v>70000</v>
      </c>
      <c r="AB11" s="60">
        <f t="shared" si="10"/>
        <v>70000</v>
      </c>
      <c r="AC11" s="60">
        <f t="shared" si="10"/>
        <v>70000</v>
      </c>
      <c r="AD11" s="60">
        <f t="shared" si="10"/>
        <v>70000</v>
      </c>
      <c r="AE11" s="48"/>
    </row>
    <row r="12" hidden="1">
      <c r="A12" s="41" t="s">
        <v>14</v>
      </c>
      <c r="B12" s="41" t="s">
        <v>36</v>
      </c>
      <c r="C12" s="41" t="s">
        <v>15</v>
      </c>
      <c r="D12" s="59" t="s">
        <v>57</v>
      </c>
      <c r="E12" s="60">
        <f>IFERROR(__xludf.DUMMYFUNCTION("IFERROR(SUM(FILTER(FILTER('FY22 Budget'!$F$1:$AC$71,'FY22 Budget'!$F$1:$AC$1&gt;=(E$1),'FY22 Budget'!$F$1:$AC$1&lt;(F$1)),'FY22 Budget'!$C$1:$C$71=$D12)),"""")"),7190.52)</f>
        <v>7190.52</v>
      </c>
      <c r="F12" s="60">
        <f>IFERROR(__xludf.DUMMYFUNCTION("IFERROR(SUM(FILTER(FILTER('FY22 Budget'!$F$1:$AC$71,'FY22 Budget'!$F$1:$AC$1&gt;=(F$1),'FY22 Budget'!$F$1:$AC$1&lt;(G$1)),'FY22 Budget'!$C$1:$C$71=$D12)),"""")"),7190.52)</f>
        <v>7190.52</v>
      </c>
      <c r="G12" s="60">
        <f>IFERROR(__xludf.DUMMYFUNCTION("IFERROR(SUM(FILTER(FILTER('FY22 Budget'!$F$1:$AC$71,'FY22 Budget'!$F$1:$AC$1&gt;=(G$1),'FY22 Budget'!$F$1:$AC$1&lt;(H$1)),'FY22 Budget'!$C$1:$C$71=$D12)),"""")"),7190.52)</f>
        <v>7190.52</v>
      </c>
      <c r="H12" s="60">
        <f>IFERROR(__xludf.DUMMYFUNCTION("IFERROR(SUM(FILTER(FILTER('FY22 Budget'!$F$1:$AC$71,'FY22 Budget'!$F$1:$AC$1&gt;=(H$1),'FY22 Budget'!$F$1:$AC$1&lt;(I$1)),'FY22 Budget'!$C$1:$C$71=$D12)),"""")"),7190.52)</f>
        <v>7190.52</v>
      </c>
      <c r="I12" s="60">
        <f>IFERROR(__xludf.DUMMYFUNCTION("IFERROR(SUM(FILTER(FILTER('FY22 Budget'!$F$1:$AC$71,'FY22 Budget'!$F$1:$AC$1&gt;=(I$1),'FY22 Budget'!$F$1:$AC$1&lt;(J$1)),'FY22 Budget'!$C$1:$C$71=$D12)),"""")"),7190.52)</f>
        <v>7190.52</v>
      </c>
      <c r="J12" s="60">
        <f>IFERROR(__xludf.DUMMYFUNCTION("IFERROR(SUM(FILTER(FILTER('FY22 Budget'!$F$1:$AC$71,'FY22 Budget'!$F$1:$AC$1&gt;=(J$1),'FY22 Budget'!$F$1:$AC$1&lt;(K$1)),'FY22 Budget'!$C$1:$C$71=$D12)),"""")"),7190.52)</f>
        <v>7190.52</v>
      </c>
      <c r="K12" s="60">
        <f>IFERROR(__xludf.DUMMYFUNCTION("IFERROR(SUM(FILTER(FILTER('FY22 Budget'!$F$1:$AC$71,'FY22 Budget'!$F$1:$AC$1&gt;=(K$1),'FY22 Budget'!$F$1:$AC$1&lt;(L$1)),'FY22 Budget'!$C$1:$C$71=$D12)),"""")"),7190.52)</f>
        <v>7190.52</v>
      </c>
      <c r="L12" s="60">
        <f>IFERROR(__xludf.DUMMYFUNCTION("IFERROR(SUM(FILTER(FILTER('FY22 Budget'!$F$1:$AC$71,'FY22 Budget'!$F$1:$AC$1&gt;=(L$1),'FY22 Budget'!$F$1:$AC$1&lt;(M$1)),'FY22 Budget'!$C$1:$C$71=$D12)),"""")"),7190.52)</f>
        <v>7190.52</v>
      </c>
      <c r="M12" s="60">
        <f>IFERROR(__xludf.DUMMYFUNCTION("IFERROR(SUM(FILTER(FILTER('FY22 Budget'!$F$1:$AC$71,'FY22 Budget'!$F$1:$AC$1&gt;=(M$1),'FY22 Budget'!$F$1:$AC$1&lt;(N$1)),'FY22 Budget'!$C$1:$C$71=$D12)),"""")"),7190.52)</f>
        <v>7190.52</v>
      </c>
      <c r="N12" s="60">
        <f>IFERROR(__xludf.DUMMYFUNCTION("IFERROR(SUM(FILTER(FILTER('FY22 Budget'!$F$1:$AC$71,'FY22 Budget'!$F$1:$AC$1&gt;=(N$1),'FY22 Budget'!$F$1:$AC$1&lt;(O$1)),'FY22 Budget'!$C$1:$C$71=$D12)),"""")"),7190.52)</f>
        <v>7190.52</v>
      </c>
      <c r="O12" s="60">
        <f>IFERROR(__xludf.DUMMYFUNCTION("IFERROR(SUM(FILTER(FILTER('FY22 Budget'!$F$1:$AC$71,'FY22 Budget'!$F$1:$AC$1&gt;=(O$1),'FY22 Budget'!$F$1:$AC$1&lt;(P$1)),'FY22 Budget'!$C$1:$C$71=$D12)),"""")"),7190.52)</f>
        <v>7190.52</v>
      </c>
      <c r="P12" s="60">
        <f>IFERROR(__xludf.DUMMYFUNCTION("IFERROR(SUM(FILTER(FILTER('FY22 Budget'!$F$1:$AC$71,'FY22 Budget'!$F$1:$AC$1&gt;=(P$1),'FY22 Budget'!$F$1:$AC$1&lt;(Q$1)),'FY22 Budget'!$C$1:$C$71=$D12)),"""")"),7190.52)</f>
        <v>7190.52</v>
      </c>
      <c r="Q12" s="48"/>
      <c r="R12" s="60"/>
      <c r="S12" s="60">
        <f t="shared" ref="S12:AD12" si="11">SUM($E12:E12)</f>
        <v>7190.52</v>
      </c>
      <c r="T12" s="60">
        <f t="shared" si="11"/>
        <v>14381.04</v>
      </c>
      <c r="U12" s="60">
        <f t="shared" si="11"/>
        <v>21571.56</v>
      </c>
      <c r="V12" s="60">
        <f t="shared" si="11"/>
        <v>28762.08</v>
      </c>
      <c r="W12" s="60">
        <f t="shared" si="11"/>
        <v>35952.6</v>
      </c>
      <c r="X12" s="60">
        <f t="shared" si="11"/>
        <v>43143.12</v>
      </c>
      <c r="Y12" s="60">
        <f t="shared" si="11"/>
        <v>50333.64</v>
      </c>
      <c r="Z12" s="60">
        <f t="shared" si="11"/>
        <v>57524.16</v>
      </c>
      <c r="AA12" s="60">
        <f t="shared" si="11"/>
        <v>64714.68</v>
      </c>
      <c r="AB12" s="60">
        <f t="shared" si="11"/>
        <v>71905.2</v>
      </c>
      <c r="AC12" s="60">
        <f t="shared" si="11"/>
        <v>79095.72</v>
      </c>
      <c r="AD12" s="60">
        <f t="shared" si="11"/>
        <v>86286.24</v>
      </c>
      <c r="AE12" s="48"/>
    </row>
    <row r="13" hidden="1">
      <c r="A13" s="41" t="s">
        <v>14</v>
      </c>
      <c r="B13" s="41" t="s">
        <v>36</v>
      </c>
      <c r="C13" s="41" t="s">
        <v>15</v>
      </c>
      <c r="D13" s="59" t="s">
        <v>58</v>
      </c>
      <c r="E13" s="60">
        <f>IFERROR(__xludf.DUMMYFUNCTION("IFERROR(SUM(FILTER(FILTER('FY22 Budget'!$F$1:$AC$71,'FY22 Budget'!$F$1:$AC$1&gt;=(E$1),'FY22 Budget'!$F$1:$AC$1&lt;(F$1)),'FY22 Budget'!$C$1:$C$71=$D13)),"""")"),380.83)</f>
        <v>380.83</v>
      </c>
      <c r="F13" s="60">
        <f>IFERROR(__xludf.DUMMYFUNCTION("IFERROR(SUM(FILTER(FILTER('FY22 Budget'!$F$1:$AC$71,'FY22 Budget'!$F$1:$AC$1&gt;=(F$1),'FY22 Budget'!$F$1:$AC$1&lt;(G$1)),'FY22 Budget'!$C$1:$C$71=$D13)),"""")"),380.83)</f>
        <v>380.83</v>
      </c>
      <c r="G13" s="60">
        <f>IFERROR(__xludf.DUMMYFUNCTION("IFERROR(SUM(FILTER(FILTER('FY22 Budget'!$F$1:$AC$71,'FY22 Budget'!$F$1:$AC$1&gt;=(G$1),'FY22 Budget'!$F$1:$AC$1&lt;(H$1)),'FY22 Budget'!$C$1:$C$71=$D13)),"""")"),380.83)</f>
        <v>380.83</v>
      </c>
      <c r="H13" s="60">
        <f>IFERROR(__xludf.DUMMYFUNCTION("IFERROR(SUM(FILTER(FILTER('FY22 Budget'!$F$1:$AC$71,'FY22 Budget'!$F$1:$AC$1&gt;=(H$1),'FY22 Budget'!$F$1:$AC$1&lt;(I$1)),'FY22 Budget'!$C$1:$C$71=$D13)),"""")"),380.83)</f>
        <v>380.83</v>
      </c>
      <c r="I13" s="60">
        <f>IFERROR(__xludf.DUMMYFUNCTION("IFERROR(SUM(FILTER(FILTER('FY22 Budget'!$F$1:$AC$71,'FY22 Budget'!$F$1:$AC$1&gt;=(I$1),'FY22 Budget'!$F$1:$AC$1&lt;(J$1)),'FY22 Budget'!$C$1:$C$71=$D13)),"""")"),380.83)</f>
        <v>380.83</v>
      </c>
      <c r="J13" s="60">
        <f>IFERROR(__xludf.DUMMYFUNCTION("IFERROR(SUM(FILTER(FILTER('FY22 Budget'!$F$1:$AC$71,'FY22 Budget'!$F$1:$AC$1&gt;=(J$1),'FY22 Budget'!$F$1:$AC$1&lt;(K$1)),'FY22 Budget'!$C$1:$C$71=$D13)),"""")"),380.83)</f>
        <v>380.83</v>
      </c>
      <c r="K13" s="60">
        <f>IFERROR(__xludf.DUMMYFUNCTION("IFERROR(SUM(FILTER(FILTER('FY22 Budget'!$F$1:$AC$71,'FY22 Budget'!$F$1:$AC$1&gt;=(K$1),'FY22 Budget'!$F$1:$AC$1&lt;(L$1)),'FY22 Budget'!$C$1:$C$71=$D13)),"""")"),380.83)</f>
        <v>380.83</v>
      </c>
      <c r="L13" s="60">
        <f>IFERROR(__xludf.DUMMYFUNCTION("IFERROR(SUM(FILTER(FILTER('FY22 Budget'!$F$1:$AC$71,'FY22 Budget'!$F$1:$AC$1&gt;=(L$1),'FY22 Budget'!$F$1:$AC$1&lt;(M$1)),'FY22 Budget'!$C$1:$C$71=$D13)),"""")"),380.83)</f>
        <v>380.83</v>
      </c>
      <c r="M13" s="60">
        <f>IFERROR(__xludf.DUMMYFUNCTION("IFERROR(SUM(FILTER(FILTER('FY22 Budget'!$F$1:$AC$71,'FY22 Budget'!$F$1:$AC$1&gt;=(M$1),'FY22 Budget'!$F$1:$AC$1&lt;(N$1)),'FY22 Budget'!$C$1:$C$71=$D13)),"""")"),380.83)</f>
        <v>380.83</v>
      </c>
      <c r="N13" s="60">
        <f>IFERROR(__xludf.DUMMYFUNCTION("IFERROR(SUM(FILTER(FILTER('FY22 Budget'!$F$1:$AC$71,'FY22 Budget'!$F$1:$AC$1&gt;=(N$1),'FY22 Budget'!$F$1:$AC$1&lt;(O$1)),'FY22 Budget'!$C$1:$C$71=$D13)),"""")"),380.83)</f>
        <v>380.83</v>
      </c>
      <c r="O13" s="60">
        <f>IFERROR(__xludf.DUMMYFUNCTION("IFERROR(SUM(FILTER(FILTER('FY22 Budget'!$F$1:$AC$71,'FY22 Budget'!$F$1:$AC$1&gt;=(O$1),'FY22 Budget'!$F$1:$AC$1&lt;(P$1)),'FY22 Budget'!$C$1:$C$71=$D13)),"""")"),380.83)</f>
        <v>380.83</v>
      </c>
      <c r="P13" s="60">
        <f>IFERROR(__xludf.DUMMYFUNCTION("IFERROR(SUM(FILTER(FILTER('FY22 Budget'!$F$1:$AC$71,'FY22 Budget'!$F$1:$AC$1&gt;=(P$1),'FY22 Budget'!$F$1:$AC$1&lt;(Q$1)),'FY22 Budget'!$C$1:$C$71=$D13)),"""")"),380.83)</f>
        <v>380.83</v>
      </c>
      <c r="Q13" s="48"/>
      <c r="R13" s="60"/>
      <c r="S13" s="60">
        <f t="shared" ref="S13:AD13" si="12">SUM($E13:E13)</f>
        <v>380.83</v>
      </c>
      <c r="T13" s="60">
        <f t="shared" si="12"/>
        <v>761.66</v>
      </c>
      <c r="U13" s="60">
        <f t="shared" si="12"/>
        <v>1142.49</v>
      </c>
      <c r="V13" s="60">
        <f t="shared" si="12"/>
        <v>1523.32</v>
      </c>
      <c r="W13" s="60">
        <f t="shared" si="12"/>
        <v>1904.15</v>
      </c>
      <c r="X13" s="60">
        <f t="shared" si="12"/>
        <v>2284.98</v>
      </c>
      <c r="Y13" s="60">
        <f t="shared" si="12"/>
        <v>2665.81</v>
      </c>
      <c r="Z13" s="60">
        <f t="shared" si="12"/>
        <v>3046.64</v>
      </c>
      <c r="AA13" s="60">
        <f t="shared" si="12"/>
        <v>3427.47</v>
      </c>
      <c r="AB13" s="60">
        <f t="shared" si="12"/>
        <v>3808.3</v>
      </c>
      <c r="AC13" s="60">
        <f t="shared" si="12"/>
        <v>4189.13</v>
      </c>
      <c r="AD13" s="60">
        <f t="shared" si="12"/>
        <v>4569.96</v>
      </c>
      <c r="AE13" s="48"/>
    </row>
    <row r="14" hidden="1">
      <c r="A14" s="41" t="s">
        <v>14</v>
      </c>
      <c r="B14" s="41" t="s">
        <v>36</v>
      </c>
      <c r="C14" s="41" t="s">
        <v>15</v>
      </c>
      <c r="D14" s="59" t="s">
        <v>59</v>
      </c>
      <c r="E14" s="60">
        <f>IFERROR(__xludf.DUMMYFUNCTION("IFERROR(SUM(FILTER(FILTER('FY22 Budget'!$F$1:$AC$71,'FY22 Budget'!$F$1:$AC$1&gt;=(E$1),'FY22 Budget'!$F$1:$AC$1&lt;(F$1)),'FY22 Budget'!$C$1:$C$71=$D14)),"""")"),0.0)</f>
        <v>0</v>
      </c>
      <c r="F14" s="60">
        <f>IFERROR(__xludf.DUMMYFUNCTION("IFERROR(SUM(FILTER(FILTER('FY22 Budget'!$F$1:$AC$71,'FY22 Budget'!$F$1:$AC$1&gt;=(F$1),'FY22 Budget'!$F$1:$AC$1&lt;(G$1)),'FY22 Budget'!$C$1:$C$71=$D14)),"""")"),0.0)</f>
        <v>0</v>
      </c>
      <c r="G14" s="60">
        <f>IFERROR(__xludf.DUMMYFUNCTION("IFERROR(SUM(FILTER(FILTER('FY22 Budget'!$F$1:$AC$71,'FY22 Budget'!$F$1:$AC$1&gt;=(G$1),'FY22 Budget'!$F$1:$AC$1&lt;(H$1)),'FY22 Budget'!$C$1:$C$71=$D14)),"""")"),0.0)</f>
        <v>0</v>
      </c>
      <c r="H14" s="60">
        <f>IFERROR(__xludf.DUMMYFUNCTION("IFERROR(SUM(FILTER(FILTER('FY22 Budget'!$F$1:$AC$71,'FY22 Budget'!$F$1:$AC$1&gt;=(H$1),'FY22 Budget'!$F$1:$AC$1&lt;(I$1)),'FY22 Budget'!$C$1:$C$71=$D14)),"""")"),0.0)</f>
        <v>0</v>
      </c>
      <c r="I14" s="60">
        <f>IFERROR(__xludf.DUMMYFUNCTION("IFERROR(SUM(FILTER(FILTER('FY22 Budget'!$F$1:$AC$71,'FY22 Budget'!$F$1:$AC$1&gt;=(I$1),'FY22 Budget'!$F$1:$AC$1&lt;(J$1)),'FY22 Budget'!$C$1:$C$71=$D14)),"""")"),0.0)</f>
        <v>0</v>
      </c>
      <c r="J14" s="60">
        <f>IFERROR(__xludf.DUMMYFUNCTION("IFERROR(SUM(FILTER(FILTER('FY22 Budget'!$F$1:$AC$71,'FY22 Budget'!$F$1:$AC$1&gt;=(J$1),'FY22 Budget'!$F$1:$AC$1&lt;(K$1)),'FY22 Budget'!$C$1:$C$71=$D14)),"""")"),0.0)</f>
        <v>0</v>
      </c>
      <c r="K14" s="60">
        <f>IFERROR(__xludf.DUMMYFUNCTION("IFERROR(SUM(FILTER(FILTER('FY22 Budget'!$F$1:$AC$71,'FY22 Budget'!$F$1:$AC$1&gt;=(K$1),'FY22 Budget'!$F$1:$AC$1&lt;(L$1)),'FY22 Budget'!$C$1:$C$71=$D14)),"""")"),0.0)</f>
        <v>0</v>
      </c>
      <c r="L14" s="60">
        <f>IFERROR(__xludf.DUMMYFUNCTION("IFERROR(SUM(FILTER(FILTER('FY22 Budget'!$F$1:$AC$71,'FY22 Budget'!$F$1:$AC$1&gt;=(L$1),'FY22 Budget'!$F$1:$AC$1&lt;(M$1)),'FY22 Budget'!$C$1:$C$71=$D14)),"""")"),0.0)</f>
        <v>0</v>
      </c>
      <c r="M14" s="60">
        <f>IFERROR(__xludf.DUMMYFUNCTION("IFERROR(SUM(FILTER(FILTER('FY22 Budget'!$F$1:$AC$71,'FY22 Budget'!$F$1:$AC$1&gt;=(M$1),'FY22 Budget'!$F$1:$AC$1&lt;(N$1)),'FY22 Budget'!$C$1:$C$71=$D14)),"""")"),0.0)</f>
        <v>0</v>
      </c>
      <c r="N14" s="60">
        <f>IFERROR(__xludf.DUMMYFUNCTION("IFERROR(SUM(FILTER(FILTER('FY22 Budget'!$F$1:$AC$71,'FY22 Budget'!$F$1:$AC$1&gt;=(N$1),'FY22 Budget'!$F$1:$AC$1&lt;(O$1)),'FY22 Budget'!$C$1:$C$71=$D14)),"""")"),0.0)</f>
        <v>0</v>
      </c>
      <c r="O14" s="60">
        <f>IFERROR(__xludf.DUMMYFUNCTION("IFERROR(SUM(FILTER(FILTER('FY22 Budget'!$F$1:$AC$71,'FY22 Budget'!$F$1:$AC$1&gt;=(O$1),'FY22 Budget'!$F$1:$AC$1&lt;(P$1)),'FY22 Budget'!$C$1:$C$71=$D14)),"""")"),0.0)</f>
        <v>0</v>
      </c>
      <c r="P14" s="60">
        <f>IFERROR(__xludf.DUMMYFUNCTION("IFERROR(SUM(FILTER(FILTER('FY22 Budget'!$F$1:$AC$71,'FY22 Budget'!$F$1:$AC$1&gt;=(P$1),'FY22 Budget'!$F$1:$AC$1&lt;(Q$1)),'FY22 Budget'!$C$1:$C$71=$D14)),"""")"),194040.01)</f>
        <v>194040.01</v>
      </c>
      <c r="Q14" s="48"/>
      <c r="R14" s="60"/>
      <c r="S14" s="60">
        <f t="shared" ref="S14:AD14" si="13">SUM($E14:E14)</f>
        <v>0</v>
      </c>
      <c r="T14" s="60">
        <f t="shared" si="13"/>
        <v>0</v>
      </c>
      <c r="U14" s="60">
        <f t="shared" si="13"/>
        <v>0</v>
      </c>
      <c r="V14" s="60">
        <f t="shared" si="13"/>
        <v>0</v>
      </c>
      <c r="W14" s="60">
        <f t="shared" si="13"/>
        <v>0</v>
      </c>
      <c r="X14" s="60">
        <f t="shared" si="13"/>
        <v>0</v>
      </c>
      <c r="Y14" s="60">
        <f t="shared" si="13"/>
        <v>0</v>
      </c>
      <c r="Z14" s="60">
        <f t="shared" si="13"/>
        <v>0</v>
      </c>
      <c r="AA14" s="60">
        <f t="shared" si="13"/>
        <v>0</v>
      </c>
      <c r="AB14" s="60">
        <f t="shared" si="13"/>
        <v>0</v>
      </c>
      <c r="AC14" s="60">
        <f t="shared" si="13"/>
        <v>0</v>
      </c>
      <c r="AD14" s="60">
        <f t="shared" si="13"/>
        <v>194040.01</v>
      </c>
      <c r="AE14" s="48"/>
    </row>
    <row r="15" hidden="1">
      <c r="A15" s="41" t="s">
        <v>14</v>
      </c>
      <c r="B15" s="41" t="s">
        <v>36</v>
      </c>
      <c r="C15" s="41" t="s">
        <v>15</v>
      </c>
      <c r="D15" s="59" t="s">
        <v>60</v>
      </c>
      <c r="E15" s="60">
        <f>IFERROR(__xludf.DUMMYFUNCTION("IFERROR(SUM(FILTER(FILTER('FY22 Budget'!$F$1:$AC$71,'FY22 Budget'!$F$1:$AC$1&gt;=(E$1),'FY22 Budget'!$F$1:$AC$1&lt;(F$1)),'FY22 Budget'!$C$1:$C$71=$D15)),"""")"),0.0)</f>
        <v>0</v>
      </c>
      <c r="F15" s="60">
        <f>IFERROR(__xludf.DUMMYFUNCTION("IFERROR(SUM(FILTER(FILTER('FY22 Budget'!$F$1:$AC$71,'FY22 Budget'!$F$1:$AC$1&gt;=(F$1),'FY22 Budget'!$F$1:$AC$1&lt;(G$1)),'FY22 Budget'!$C$1:$C$71=$D15)),"""")"),0.0)</f>
        <v>0</v>
      </c>
      <c r="G15" s="60">
        <f>IFERROR(__xludf.DUMMYFUNCTION("IFERROR(SUM(FILTER(FILTER('FY22 Budget'!$F$1:$AC$71,'FY22 Budget'!$F$1:$AC$1&gt;=(G$1),'FY22 Budget'!$F$1:$AC$1&lt;(H$1)),'FY22 Budget'!$C$1:$C$71=$D15)),"""")"),0.0)</f>
        <v>0</v>
      </c>
      <c r="H15" s="60">
        <f>IFERROR(__xludf.DUMMYFUNCTION("IFERROR(SUM(FILTER(FILTER('FY22 Budget'!$F$1:$AC$71,'FY22 Budget'!$F$1:$AC$1&gt;=(H$1),'FY22 Budget'!$F$1:$AC$1&lt;(I$1)),'FY22 Budget'!$C$1:$C$71=$D15)),"""")"),0.0)</f>
        <v>0</v>
      </c>
      <c r="I15" s="60">
        <f>IFERROR(__xludf.DUMMYFUNCTION("IFERROR(SUM(FILTER(FILTER('FY22 Budget'!$F$1:$AC$71,'FY22 Budget'!$F$1:$AC$1&gt;=(I$1),'FY22 Budget'!$F$1:$AC$1&lt;(J$1)),'FY22 Budget'!$C$1:$C$71=$D15)),"""")"),0.0)</f>
        <v>0</v>
      </c>
      <c r="J15" s="60">
        <f>IFERROR(__xludf.DUMMYFUNCTION("IFERROR(SUM(FILTER(FILTER('FY22 Budget'!$F$1:$AC$71,'FY22 Budget'!$F$1:$AC$1&gt;=(J$1),'FY22 Budget'!$F$1:$AC$1&lt;(K$1)),'FY22 Budget'!$C$1:$C$71=$D15)),"""")"),0.0)</f>
        <v>0</v>
      </c>
      <c r="K15" s="60">
        <f>IFERROR(__xludf.DUMMYFUNCTION("IFERROR(SUM(FILTER(FILTER('FY22 Budget'!$F$1:$AC$71,'FY22 Budget'!$F$1:$AC$1&gt;=(K$1),'FY22 Budget'!$F$1:$AC$1&lt;(L$1)),'FY22 Budget'!$C$1:$C$71=$D15)),"""")"),0.0)</f>
        <v>0</v>
      </c>
      <c r="L15" s="60">
        <f>IFERROR(__xludf.DUMMYFUNCTION("IFERROR(SUM(FILTER(FILTER('FY22 Budget'!$F$1:$AC$71,'FY22 Budget'!$F$1:$AC$1&gt;=(L$1),'FY22 Budget'!$F$1:$AC$1&lt;(M$1)),'FY22 Budget'!$C$1:$C$71=$D15)),"""")"),0.0)</f>
        <v>0</v>
      </c>
      <c r="M15" s="60">
        <f>IFERROR(__xludf.DUMMYFUNCTION("IFERROR(SUM(FILTER(FILTER('FY22 Budget'!$F$1:$AC$71,'FY22 Budget'!$F$1:$AC$1&gt;=(M$1),'FY22 Budget'!$F$1:$AC$1&lt;(N$1)),'FY22 Budget'!$C$1:$C$71=$D15)),"""")"),0.0)</f>
        <v>0</v>
      </c>
      <c r="N15" s="60">
        <f>IFERROR(__xludf.DUMMYFUNCTION("IFERROR(SUM(FILTER(FILTER('FY22 Budget'!$F$1:$AC$71,'FY22 Budget'!$F$1:$AC$1&gt;=(N$1),'FY22 Budget'!$F$1:$AC$1&lt;(O$1)),'FY22 Budget'!$C$1:$C$71=$D15)),"""")"),0.0)</f>
        <v>0</v>
      </c>
      <c r="O15" s="60">
        <f>IFERROR(__xludf.DUMMYFUNCTION("IFERROR(SUM(FILTER(FILTER('FY22 Budget'!$F$1:$AC$71,'FY22 Budget'!$F$1:$AC$1&gt;=(O$1),'FY22 Budget'!$F$1:$AC$1&lt;(P$1)),'FY22 Budget'!$C$1:$C$71=$D15)),"""")"),0.0)</f>
        <v>0</v>
      </c>
      <c r="P15" s="60">
        <f>IFERROR(__xludf.DUMMYFUNCTION("IFERROR(SUM(FILTER(FILTER('FY22 Budget'!$F$1:$AC$71,'FY22 Budget'!$F$1:$AC$1&gt;=(P$1),'FY22 Budget'!$F$1:$AC$1&lt;(Q$1)),'FY22 Budget'!$C$1:$C$71=$D15)),"""")"),20000.0)</f>
        <v>20000</v>
      </c>
      <c r="Q15" s="48"/>
      <c r="R15" s="60"/>
      <c r="S15" s="60">
        <f t="shared" ref="S15:AD15" si="14">SUM($E15:E15)</f>
        <v>0</v>
      </c>
      <c r="T15" s="60">
        <f t="shared" si="14"/>
        <v>0</v>
      </c>
      <c r="U15" s="60">
        <f t="shared" si="14"/>
        <v>0</v>
      </c>
      <c r="V15" s="60">
        <f t="shared" si="14"/>
        <v>0</v>
      </c>
      <c r="W15" s="60">
        <f t="shared" si="14"/>
        <v>0</v>
      </c>
      <c r="X15" s="60">
        <f t="shared" si="14"/>
        <v>0</v>
      </c>
      <c r="Y15" s="60">
        <f t="shared" si="14"/>
        <v>0</v>
      </c>
      <c r="Z15" s="60">
        <f t="shared" si="14"/>
        <v>0</v>
      </c>
      <c r="AA15" s="60">
        <f t="shared" si="14"/>
        <v>0</v>
      </c>
      <c r="AB15" s="60">
        <f t="shared" si="14"/>
        <v>0</v>
      </c>
      <c r="AC15" s="60">
        <f t="shared" si="14"/>
        <v>0</v>
      </c>
      <c r="AD15" s="60">
        <f t="shared" si="14"/>
        <v>20000</v>
      </c>
      <c r="AE15" s="48"/>
    </row>
    <row r="16" hidden="1">
      <c r="A16" s="41" t="s">
        <v>14</v>
      </c>
      <c r="B16" s="41" t="s">
        <v>36</v>
      </c>
      <c r="C16" s="41" t="s">
        <v>15</v>
      </c>
      <c r="D16" s="59" t="s">
        <v>61</v>
      </c>
      <c r="E16" s="60">
        <f>IFERROR(__xludf.DUMMYFUNCTION("IFERROR(SUM(FILTER(FILTER('FY22 Budget'!$F$1:$AC$71,'FY22 Budget'!$F$1:$AC$1&gt;=(E$1),'FY22 Budget'!$F$1:$AC$1&lt;(F$1)),'FY22 Budget'!$C$1:$C$71=$D16)),"""")"),0.0)</f>
        <v>0</v>
      </c>
      <c r="F16" s="60">
        <f>IFERROR(__xludf.DUMMYFUNCTION("IFERROR(SUM(FILTER(FILTER('FY22 Budget'!$F$1:$AC$71,'FY22 Budget'!$F$1:$AC$1&gt;=(F$1),'FY22 Budget'!$F$1:$AC$1&lt;(G$1)),'FY22 Budget'!$C$1:$C$71=$D16)),"""")"),0.0)</f>
        <v>0</v>
      </c>
      <c r="G16" s="60">
        <f>IFERROR(__xludf.DUMMYFUNCTION("IFERROR(SUM(FILTER(FILTER('FY22 Budget'!$F$1:$AC$71,'FY22 Budget'!$F$1:$AC$1&gt;=(G$1),'FY22 Budget'!$F$1:$AC$1&lt;(H$1)),'FY22 Budget'!$C$1:$C$71=$D16)),"""")"),0.0)</f>
        <v>0</v>
      </c>
      <c r="H16" s="60">
        <f>IFERROR(__xludf.DUMMYFUNCTION("IFERROR(SUM(FILTER(FILTER('FY22 Budget'!$F$1:$AC$71,'FY22 Budget'!$F$1:$AC$1&gt;=(H$1),'FY22 Budget'!$F$1:$AC$1&lt;(I$1)),'FY22 Budget'!$C$1:$C$71=$D16)),"""")"),0.0)</f>
        <v>0</v>
      </c>
      <c r="I16" s="60">
        <f>IFERROR(__xludf.DUMMYFUNCTION("IFERROR(SUM(FILTER(FILTER('FY22 Budget'!$F$1:$AC$71,'FY22 Budget'!$F$1:$AC$1&gt;=(I$1),'FY22 Budget'!$F$1:$AC$1&lt;(J$1)),'FY22 Budget'!$C$1:$C$71=$D16)),"""")"),0.0)</f>
        <v>0</v>
      </c>
      <c r="J16" s="60">
        <f>IFERROR(__xludf.DUMMYFUNCTION("IFERROR(SUM(FILTER(FILTER('FY22 Budget'!$F$1:$AC$71,'FY22 Budget'!$F$1:$AC$1&gt;=(J$1),'FY22 Budget'!$F$1:$AC$1&lt;(K$1)),'FY22 Budget'!$C$1:$C$71=$D16)),"""")"),0.0)</f>
        <v>0</v>
      </c>
      <c r="K16" s="60">
        <f>IFERROR(__xludf.DUMMYFUNCTION("IFERROR(SUM(FILTER(FILTER('FY22 Budget'!$F$1:$AC$71,'FY22 Budget'!$F$1:$AC$1&gt;=(K$1),'FY22 Budget'!$F$1:$AC$1&lt;(L$1)),'FY22 Budget'!$C$1:$C$71=$D16)),"""")"),0.0)</f>
        <v>0</v>
      </c>
      <c r="L16" s="60">
        <f>IFERROR(__xludf.DUMMYFUNCTION("IFERROR(SUM(FILTER(FILTER('FY22 Budget'!$F$1:$AC$71,'FY22 Budget'!$F$1:$AC$1&gt;=(L$1),'FY22 Budget'!$F$1:$AC$1&lt;(M$1)),'FY22 Budget'!$C$1:$C$71=$D16)),"""")"),0.0)</f>
        <v>0</v>
      </c>
      <c r="M16" s="60">
        <f>IFERROR(__xludf.DUMMYFUNCTION("IFERROR(SUM(FILTER(FILTER('FY22 Budget'!$F$1:$AC$71,'FY22 Budget'!$F$1:$AC$1&gt;=(M$1),'FY22 Budget'!$F$1:$AC$1&lt;(N$1)),'FY22 Budget'!$C$1:$C$71=$D16)),"""")"),0.0)</f>
        <v>0</v>
      </c>
      <c r="N16" s="60">
        <f>IFERROR(__xludf.DUMMYFUNCTION("IFERROR(SUM(FILTER(FILTER('FY22 Budget'!$F$1:$AC$71,'FY22 Budget'!$F$1:$AC$1&gt;=(N$1),'FY22 Budget'!$F$1:$AC$1&lt;(O$1)),'FY22 Budget'!$C$1:$C$71=$D16)),"""")"),0.0)</f>
        <v>0</v>
      </c>
      <c r="O16" s="60">
        <f>IFERROR(__xludf.DUMMYFUNCTION("IFERROR(SUM(FILTER(FILTER('FY22 Budget'!$F$1:$AC$71,'FY22 Budget'!$F$1:$AC$1&gt;=(O$1),'FY22 Budget'!$F$1:$AC$1&lt;(P$1)),'FY22 Budget'!$C$1:$C$71=$D16)),"""")"),0.0)</f>
        <v>0</v>
      </c>
      <c r="P16" s="60">
        <f>IFERROR(__xludf.DUMMYFUNCTION("IFERROR(SUM(FILTER(FILTER('FY22 Budget'!$F$1:$AC$71,'FY22 Budget'!$F$1:$AC$1&gt;=(P$1),'FY22 Budget'!$F$1:$AC$1&lt;(Q$1)),'FY22 Budget'!$C$1:$C$71=$D16)),"""")"),22492.0)</f>
        <v>22492</v>
      </c>
      <c r="Q16" s="48"/>
      <c r="R16" s="60"/>
      <c r="S16" s="60">
        <f t="shared" ref="S16:AD16" si="15">SUM($E16:E16)</f>
        <v>0</v>
      </c>
      <c r="T16" s="60">
        <f t="shared" si="15"/>
        <v>0</v>
      </c>
      <c r="U16" s="60">
        <f t="shared" si="15"/>
        <v>0</v>
      </c>
      <c r="V16" s="60">
        <f t="shared" si="15"/>
        <v>0</v>
      </c>
      <c r="W16" s="60">
        <f t="shared" si="15"/>
        <v>0</v>
      </c>
      <c r="X16" s="60">
        <f t="shared" si="15"/>
        <v>0</v>
      </c>
      <c r="Y16" s="60">
        <f t="shared" si="15"/>
        <v>0</v>
      </c>
      <c r="Z16" s="60">
        <f t="shared" si="15"/>
        <v>0</v>
      </c>
      <c r="AA16" s="60">
        <f t="shared" si="15"/>
        <v>0</v>
      </c>
      <c r="AB16" s="60">
        <f t="shared" si="15"/>
        <v>0</v>
      </c>
      <c r="AC16" s="60">
        <f t="shared" si="15"/>
        <v>0</v>
      </c>
      <c r="AD16" s="60">
        <f t="shared" si="15"/>
        <v>22492</v>
      </c>
      <c r="AE16" s="48"/>
    </row>
    <row r="17" hidden="1">
      <c r="A17" s="41" t="s">
        <v>14</v>
      </c>
      <c r="B17" s="41" t="s">
        <v>36</v>
      </c>
      <c r="C17" s="41" t="s">
        <v>15</v>
      </c>
      <c r="D17" s="59" t="s">
        <v>62</v>
      </c>
      <c r="E17" s="60">
        <f>IFERROR(__xludf.DUMMYFUNCTION("IFERROR(SUM(FILTER(FILTER('FY22 Budget'!$F$1:$AC$71,'FY22 Budget'!$F$1:$AC$1&gt;=(E$1),'FY22 Budget'!$F$1:$AC$1&lt;(F$1)),'FY22 Budget'!$C$1:$C$71=$D17)),"""")"),0.0)</f>
        <v>0</v>
      </c>
      <c r="F17" s="60">
        <f>IFERROR(__xludf.DUMMYFUNCTION("IFERROR(SUM(FILTER(FILTER('FY22 Budget'!$F$1:$AC$71,'FY22 Budget'!$F$1:$AC$1&gt;=(F$1),'FY22 Budget'!$F$1:$AC$1&lt;(G$1)),'FY22 Budget'!$C$1:$C$71=$D17)),"""")"),0.0)</f>
        <v>0</v>
      </c>
      <c r="G17" s="60">
        <f>IFERROR(__xludf.DUMMYFUNCTION("IFERROR(SUM(FILTER(FILTER('FY22 Budget'!$F$1:$AC$71,'FY22 Budget'!$F$1:$AC$1&gt;=(G$1),'FY22 Budget'!$F$1:$AC$1&lt;(H$1)),'FY22 Budget'!$C$1:$C$71=$D17)),"""")"),0.0)</f>
        <v>0</v>
      </c>
      <c r="H17" s="60">
        <f>IFERROR(__xludf.DUMMYFUNCTION("IFERROR(SUM(FILTER(FILTER('FY22 Budget'!$F$1:$AC$71,'FY22 Budget'!$F$1:$AC$1&gt;=(H$1),'FY22 Budget'!$F$1:$AC$1&lt;(I$1)),'FY22 Budget'!$C$1:$C$71=$D17)),"""")"),0.0)</f>
        <v>0</v>
      </c>
      <c r="I17" s="60">
        <f>IFERROR(__xludf.DUMMYFUNCTION("IFERROR(SUM(FILTER(FILTER('FY22 Budget'!$F$1:$AC$71,'FY22 Budget'!$F$1:$AC$1&gt;=(I$1),'FY22 Budget'!$F$1:$AC$1&lt;(J$1)),'FY22 Budget'!$C$1:$C$71=$D17)),"""")"),0.0)</f>
        <v>0</v>
      </c>
      <c r="J17" s="60">
        <f>IFERROR(__xludf.DUMMYFUNCTION("IFERROR(SUM(FILTER(FILTER('FY22 Budget'!$F$1:$AC$71,'FY22 Budget'!$F$1:$AC$1&gt;=(J$1),'FY22 Budget'!$F$1:$AC$1&lt;(K$1)),'FY22 Budget'!$C$1:$C$71=$D17)),"""")"),0.0)</f>
        <v>0</v>
      </c>
      <c r="K17" s="60">
        <f>IFERROR(__xludf.DUMMYFUNCTION("IFERROR(SUM(FILTER(FILTER('FY22 Budget'!$F$1:$AC$71,'FY22 Budget'!$F$1:$AC$1&gt;=(K$1),'FY22 Budget'!$F$1:$AC$1&lt;(L$1)),'FY22 Budget'!$C$1:$C$71=$D17)),"""")"),0.0)</f>
        <v>0</v>
      </c>
      <c r="L17" s="60">
        <f>IFERROR(__xludf.DUMMYFUNCTION("IFERROR(SUM(FILTER(FILTER('FY22 Budget'!$F$1:$AC$71,'FY22 Budget'!$F$1:$AC$1&gt;=(L$1),'FY22 Budget'!$F$1:$AC$1&lt;(M$1)),'FY22 Budget'!$C$1:$C$71=$D17)),"""")"),0.0)</f>
        <v>0</v>
      </c>
      <c r="M17" s="60">
        <f>IFERROR(__xludf.DUMMYFUNCTION("IFERROR(SUM(FILTER(FILTER('FY22 Budget'!$F$1:$AC$71,'FY22 Budget'!$F$1:$AC$1&gt;=(M$1),'FY22 Budget'!$F$1:$AC$1&lt;(N$1)),'FY22 Budget'!$C$1:$C$71=$D17)),"""")"),0.0)</f>
        <v>0</v>
      </c>
      <c r="N17" s="60">
        <f>IFERROR(__xludf.DUMMYFUNCTION("IFERROR(SUM(FILTER(FILTER('FY22 Budget'!$F$1:$AC$71,'FY22 Budget'!$F$1:$AC$1&gt;=(N$1),'FY22 Budget'!$F$1:$AC$1&lt;(O$1)),'FY22 Budget'!$C$1:$C$71=$D17)),"""")"),0.0)</f>
        <v>0</v>
      </c>
      <c r="O17" s="60">
        <f>IFERROR(__xludf.DUMMYFUNCTION("IFERROR(SUM(FILTER(FILTER('FY22 Budget'!$F$1:$AC$71,'FY22 Budget'!$F$1:$AC$1&gt;=(O$1),'FY22 Budget'!$F$1:$AC$1&lt;(P$1)),'FY22 Budget'!$C$1:$C$71=$D17)),"""")"),0.0)</f>
        <v>0</v>
      </c>
      <c r="P17" s="60">
        <f>IFERROR(__xludf.DUMMYFUNCTION("IFERROR(SUM(FILTER(FILTER('FY22 Budget'!$F$1:$AC$71,'FY22 Budget'!$F$1:$AC$1&gt;=(P$1),'FY22 Budget'!$F$1:$AC$1&lt;(Q$1)),'FY22 Budget'!$C$1:$C$71=$D17)),"""")"),752523.0)</f>
        <v>752523</v>
      </c>
      <c r="Q17" s="48"/>
      <c r="R17" s="60"/>
      <c r="S17" s="60">
        <f t="shared" ref="S17:AD17" si="16">SUM($E17:E17)</f>
        <v>0</v>
      </c>
      <c r="T17" s="60">
        <f t="shared" si="16"/>
        <v>0</v>
      </c>
      <c r="U17" s="60">
        <f t="shared" si="16"/>
        <v>0</v>
      </c>
      <c r="V17" s="60">
        <f t="shared" si="16"/>
        <v>0</v>
      </c>
      <c r="W17" s="60">
        <f t="shared" si="16"/>
        <v>0</v>
      </c>
      <c r="X17" s="60">
        <f t="shared" si="16"/>
        <v>0</v>
      </c>
      <c r="Y17" s="60">
        <f t="shared" si="16"/>
        <v>0</v>
      </c>
      <c r="Z17" s="60">
        <f t="shared" si="16"/>
        <v>0</v>
      </c>
      <c r="AA17" s="60">
        <f t="shared" si="16"/>
        <v>0</v>
      </c>
      <c r="AB17" s="60">
        <f t="shared" si="16"/>
        <v>0</v>
      </c>
      <c r="AC17" s="60">
        <f t="shared" si="16"/>
        <v>0</v>
      </c>
      <c r="AD17" s="60">
        <f t="shared" si="16"/>
        <v>752523</v>
      </c>
      <c r="AE17" s="48"/>
    </row>
    <row r="18" hidden="1">
      <c r="A18" s="41" t="s">
        <v>14</v>
      </c>
      <c r="B18" s="41" t="s">
        <v>35</v>
      </c>
      <c r="C18" s="41" t="s">
        <v>23</v>
      </c>
      <c r="D18" s="59" t="s">
        <v>63</v>
      </c>
      <c r="E18" s="60">
        <f>IFERROR(__xludf.DUMMYFUNCTION("IFERROR(SUM(FILTER(FILTER('FY22 Budget'!$F$1:$AC$71,'FY22 Budget'!$F$1:$AC$1&gt;=(E$1),'FY22 Budget'!$F$1:$AC$1&lt;(F$1)),'FY22 Budget'!$C$1:$C$71=$D18)),"""")"),90967.25)</f>
        <v>90967.25</v>
      </c>
      <c r="F18" s="60">
        <f>IFERROR(__xludf.DUMMYFUNCTION("IFERROR(SUM(FILTER(FILTER('FY22 Budget'!$F$1:$AC$71,'FY22 Budget'!$F$1:$AC$1&gt;=(F$1),'FY22 Budget'!$F$1:$AC$1&lt;(G$1)),'FY22 Budget'!$C$1:$C$71=$D18)),"""")"),90967.25)</f>
        <v>90967.25</v>
      </c>
      <c r="G18" s="60">
        <f>IFERROR(__xludf.DUMMYFUNCTION("IFERROR(SUM(FILTER(FILTER('FY22 Budget'!$F$1:$AC$71,'FY22 Budget'!$F$1:$AC$1&gt;=(G$1),'FY22 Budget'!$F$1:$AC$1&lt;(H$1)),'FY22 Budget'!$C$1:$C$71=$D18)),"""")"),90967.25)</f>
        <v>90967.25</v>
      </c>
      <c r="H18" s="60">
        <f>IFERROR(__xludf.DUMMYFUNCTION("IFERROR(SUM(FILTER(FILTER('FY22 Budget'!$F$1:$AC$71,'FY22 Budget'!$F$1:$AC$1&gt;=(H$1),'FY22 Budget'!$F$1:$AC$1&lt;(I$1)),'FY22 Budget'!$C$1:$C$71=$D18)),"""")"),90967.25)</f>
        <v>90967.25</v>
      </c>
      <c r="I18" s="60">
        <f>IFERROR(__xludf.DUMMYFUNCTION("IFERROR(SUM(FILTER(FILTER('FY22 Budget'!$F$1:$AC$71,'FY22 Budget'!$F$1:$AC$1&gt;=(I$1),'FY22 Budget'!$F$1:$AC$1&lt;(J$1)),'FY22 Budget'!$C$1:$C$71=$D18)),"""")"),90967.25)</f>
        <v>90967.25</v>
      </c>
      <c r="J18" s="60">
        <f>IFERROR(__xludf.DUMMYFUNCTION("IFERROR(SUM(FILTER(FILTER('FY22 Budget'!$F$1:$AC$71,'FY22 Budget'!$F$1:$AC$1&gt;=(J$1),'FY22 Budget'!$F$1:$AC$1&lt;(K$1)),'FY22 Budget'!$C$1:$C$71=$D18)),"""")"),90967.25)</f>
        <v>90967.25</v>
      </c>
      <c r="K18" s="60">
        <f>IFERROR(__xludf.DUMMYFUNCTION("IFERROR(SUM(FILTER(FILTER('FY22 Budget'!$F$1:$AC$71,'FY22 Budget'!$F$1:$AC$1&gt;=(K$1),'FY22 Budget'!$F$1:$AC$1&lt;(L$1)),'FY22 Budget'!$C$1:$C$71=$D18)),"""")"),90967.25)</f>
        <v>90967.25</v>
      </c>
      <c r="L18" s="60">
        <f>IFERROR(__xludf.DUMMYFUNCTION("IFERROR(SUM(FILTER(FILTER('FY22 Budget'!$F$1:$AC$71,'FY22 Budget'!$F$1:$AC$1&gt;=(L$1),'FY22 Budget'!$F$1:$AC$1&lt;(M$1)),'FY22 Budget'!$C$1:$C$71=$D18)),"""")"),90967.25)</f>
        <v>90967.25</v>
      </c>
      <c r="M18" s="60">
        <f>IFERROR(__xludf.DUMMYFUNCTION("IFERROR(SUM(FILTER(FILTER('FY22 Budget'!$F$1:$AC$71,'FY22 Budget'!$F$1:$AC$1&gt;=(M$1),'FY22 Budget'!$F$1:$AC$1&lt;(N$1)),'FY22 Budget'!$C$1:$C$71=$D18)),"""")"),90967.25)</f>
        <v>90967.25</v>
      </c>
      <c r="N18" s="60">
        <f>IFERROR(__xludf.DUMMYFUNCTION("IFERROR(SUM(FILTER(FILTER('FY22 Budget'!$F$1:$AC$71,'FY22 Budget'!$F$1:$AC$1&gt;=(N$1),'FY22 Budget'!$F$1:$AC$1&lt;(O$1)),'FY22 Budget'!$C$1:$C$71=$D18)),"""")"),90967.25)</f>
        <v>90967.25</v>
      </c>
      <c r="O18" s="60">
        <f>IFERROR(__xludf.DUMMYFUNCTION("IFERROR(SUM(FILTER(FILTER('FY22 Budget'!$F$1:$AC$71,'FY22 Budget'!$F$1:$AC$1&gt;=(O$1),'FY22 Budget'!$F$1:$AC$1&lt;(P$1)),'FY22 Budget'!$C$1:$C$71=$D18)),"""")"),90967.25)</f>
        <v>90967.25</v>
      </c>
      <c r="P18" s="60">
        <f>IFERROR(__xludf.DUMMYFUNCTION("IFERROR(SUM(FILTER(FILTER('FY22 Budget'!$F$1:$AC$71,'FY22 Budget'!$F$1:$AC$1&gt;=(P$1),'FY22 Budget'!$F$1:$AC$1&lt;(Q$1)),'FY22 Budget'!$C$1:$C$71=$D18)),"""")"),90967.25)</f>
        <v>90967.25</v>
      </c>
      <c r="Q18" s="48"/>
      <c r="R18" s="60"/>
      <c r="S18" s="60">
        <f t="shared" ref="S18:AD18" si="17">SUM($E18:E18)</f>
        <v>90967.25</v>
      </c>
      <c r="T18" s="60">
        <f t="shared" si="17"/>
        <v>181934.5</v>
      </c>
      <c r="U18" s="60">
        <f t="shared" si="17"/>
        <v>272901.75</v>
      </c>
      <c r="V18" s="60">
        <f t="shared" si="17"/>
        <v>363869</v>
      </c>
      <c r="W18" s="60">
        <f t="shared" si="17"/>
        <v>454836.25</v>
      </c>
      <c r="X18" s="60">
        <f t="shared" si="17"/>
        <v>545803.5</v>
      </c>
      <c r="Y18" s="60">
        <f t="shared" si="17"/>
        <v>636770.75</v>
      </c>
      <c r="Z18" s="60">
        <f t="shared" si="17"/>
        <v>727738</v>
      </c>
      <c r="AA18" s="60">
        <f t="shared" si="17"/>
        <v>818705.25</v>
      </c>
      <c r="AB18" s="60">
        <f t="shared" si="17"/>
        <v>909672.5</v>
      </c>
      <c r="AC18" s="60">
        <f t="shared" si="17"/>
        <v>1000639.75</v>
      </c>
      <c r="AD18" s="60">
        <f t="shared" si="17"/>
        <v>1091607</v>
      </c>
      <c r="AE18" s="48"/>
    </row>
    <row r="19" hidden="1">
      <c r="A19" s="41" t="s">
        <v>14</v>
      </c>
      <c r="B19" s="41" t="s">
        <v>35</v>
      </c>
      <c r="C19" s="41" t="s">
        <v>24</v>
      </c>
      <c r="D19" s="59" t="s">
        <v>64</v>
      </c>
      <c r="E19" s="60">
        <f>IFERROR(__xludf.DUMMYFUNCTION("IFERROR(SUM(FILTER(FILTER('FY22 Budget'!$F$1:$AC$71,'FY22 Budget'!$F$1:$AC$1&gt;=(E$1),'FY22 Budget'!$F$1:$AC$1&lt;(F$1)),'FY22 Budget'!$C$1:$C$71=$D19)),"""")"),12735.59)</f>
        <v>12735.59</v>
      </c>
      <c r="F19" s="60">
        <f>IFERROR(__xludf.DUMMYFUNCTION("IFERROR(SUM(FILTER(FILTER('FY22 Budget'!$F$1:$AC$71,'FY22 Budget'!$F$1:$AC$1&gt;=(F$1),'FY22 Budget'!$F$1:$AC$1&lt;(G$1)),'FY22 Budget'!$C$1:$C$71=$D19)),"""")"),12735.59)</f>
        <v>12735.59</v>
      </c>
      <c r="G19" s="60">
        <f>IFERROR(__xludf.DUMMYFUNCTION("IFERROR(SUM(FILTER(FILTER('FY22 Budget'!$F$1:$AC$71,'FY22 Budget'!$F$1:$AC$1&gt;=(G$1),'FY22 Budget'!$F$1:$AC$1&lt;(H$1)),'FY22 Budget'!$C$1:$C$71=$D19)),"""")"),12735.59)</f>
        <v>12735.59</v>
      </c>
      <c r="H19" s="60">
        <f>IFERROR(__xludf.DUMMYFUNCTION("IFERROR(SUM(FILTER(FILTER('FY22 Budget'!$F$1:$AC$71,'FY22 Budget'!$F$1:$AC$1&gt;=(H$1),'FY22 Budget'!$F$1:$AC$1&lt;(I$1)),'FY22 Budget'!$C$1:$C$71=$D19)),"""")"),12735.59)</f>
        <v>12735.59</v>
      </c>
      <c r="I19" s="60">
        <f>IFERROR(__xludf.DUMMYFUNCTION("IFERROR(SUM(FILTER(FILTER('FY22 Budget'!$F$1:$AC$71,'FY22 Budget'!$F$1:$AC$1&gt;=(I$1),'FY22 Budget'!$F$1:$AC$1&lt;(J$1)),'FY22 Budget'!$C$1:$C$71=$D19)),"""")"),12735.59)</f>
        <v>12735.59</v>
      </c>
      <c r="J19" s="60">
        <f>IFERROR(__xludf.DUMMYFUNCTION("IFERROR(SUM(FILTER(FILTER('FY22 Budget'!$F$1:$AC$71,'FY22 Budget'!$F$1:$AC$1&gt;=(J$1),'FY22 Budget'!$F$1:$AC$1&lt;(K$1)),'FY22 Budget'!$C$1:$C$71=$D19)),"""")"),12735.59)</f>
        <v>12735.59</v>
      </c>
      <c r="K19" s="60">
        <f>IFERROR(__xludf.DUMMYFUNCTION("IFERROR(SUM(FILTER(FILTER('FY22 Budget'!$F$1:$AC$71,'FY22 Budget'!$F$1:$AC$1&gt;=(K$1),'FY22 Budget'!$F$1:$AC$1&lt;(L$1)),'FY22 Budget'!$C$1:$C$71=$D19)),"""")"),12735.59)</f>
        <v>12735.59</v>
      </c>
      <c r="L19" s="60">
        <f>IFERROR(__xludf.DUMMYFUNCTION("IFERROR(SUM(FILTER(FILTER('FY22 Budget'!$F$1:$AC$71,'FY22 Budget'!$F$1:$AC$1&gt;=(L$1),'FY22 Budget'!$F$1:$AC$1&lt;(M$1)),'FY22 Budget'!$C$1:$C$71=$D19)),"""")"),12735.59)</f>
        <v>12735.59</v>
      </c>
      <c r="M19" s="60">
        <f>IFERROR(__xludf.DUMMYFUNCTION("IFERROR(SUM(FILTER(FILTER('FY22 Budget'!$F$1:$AC$71,'FY22 Budget'!$F$1:$AC$1&gt;=(M$1),'FY22 Budget'!$F$1:$AC$1&lt;(N$1)),'FY22 Budget'!$C$1:$C$71=$D19)),"""")"),12735.59)</f>
        <v>12735.59</v>
      </c>
      <c r="N19" s="60">
        <f>IFERROR(__xludf.DUMMYFUNCTION("IFERROR(SUM(FILTER(FILTER('FY22 Budget'!$F$1:$AC$71,'FY22 Budget'!$F$1:$AC$1&gt;=(N$1),'FY22 Budget'!$F$1:$AC$1&lt;(O$1)),'FY22 Budget'!$C$1:$C$71=$D19)),"""")"),12735.59)</f>
        <v>12735.59</v>
      </c>
      <c r="O19" s="60">
        <f>IFERROR(__xludf.DUMMYFUNCTION("IFERROR(SUM(FILTER(FILTER('FY22 Budget'!$F$1:$AC$71,'FY22 Budget'!$F$1:$AC$1&gt;=(O$1),'FY22 Budget'!$F$1:$AC$1&lt;(P$1)),'FY22 Budget'!$C$1:$C$71=$D19)),"""")"),12735.59)</f>
        <v>12735.59</v>
      </c>
      <c r="P19" s="60">
        <f>IFERROR(__xludf.DUMMYFUNCTION("IFERROR(SUM(FILTER(FILTER('FY22 Budget'!$F$1:$AC$71,'FY22 Budget'!$F$1:$AC$1&gt;=(P$1),'FY22 Budget'!$F$1:$AC$1&lt;(Q$1)),'FY22 Budget'!$C$1:$C$71=$D19)),"""")"),12735.59)</f>
        <v>12735.59</v>
      </c>
      <c r="Q19" s="48"/>
      <c r="R19" s="60"/>
      <c r="S19" s="60">
        <f t="shared" ref="S19:AD19" si="18">SUM($E19:E19)</f>
        <v>12735.59</v>
      </c>
      <c r="T19" s="60">
        <f t="shared" si="18"/>
        <v>25471.18</v>
      </c>
      <c r="U19" s="60">
        <f t="shared" si="18"/>
        <v>38206.77</v>
      </c>
      <c r="V19" s="60">
        <f t="shared" si="18"/>
        <v>50942.36</v>
      </c>
      <c r="W19" s="60">
        <f t="shared" si="18"/>
        <v>63677.95</v>
      </c>
      <c r="X19" s="60">
        <f t="shared" si="18"/>
        <v>76413.54</v>
      </c>
      <c r="Y19" s="60">
        <f t="shared" si="18"/>
        <v>89149.13</v>
      </c>
      <c r="Z19" s="60">
        <f t="shared" si="18"/>
        <v>101884.72</v>
      </c>
      <c r="AA19" s="60">
        <f t="shared" si="18"/>
        <v>114620.31</v>
      </c>
      <c r="AB19" s="60">
        <f t="shared" si="18"/>
        <v>127355.9</v>
      </c>
      <c r="AC19" s="60">
        <f t="shared" si="18"/>
        <v>140091.49</v>
      </c>
      <c r="AD19" s="60">
        <f t="shared" si="18"/>
        <v>152827.08</v>
      </c>
      <c r="AE19" s="48"/>
    </row>
    <row r="20" hidden="1">
      <c r="A20" s="41" t="s">
        <v>14</v>
      </c>
      <c r="B20" s="41" t="s">
        <v>35</v>
      </c>
      <c r="C20" s="41" t="s">
        <v>24</v>
      </c>
      <c r="D20" s="59" t="s">
        <v>65</v>
      </c>
      <c r="E20" s="60">
        <f>IFERROR(__xludf.DUMMYFUNCTION("IFERROR(SUM(FILTER(FILTER('FY22 Budget'!$F$1:$AC$71,'FY22 Budget'!$F$1:$AC$1&gt;=(E$1),'FY22 Budget'!$F$1:$AC$1&lt;(F$1)),'FY22 Budget'!$C$1:$C$71=$D20)),"""")"),5639.97)</f>
        <v>5639.97</v>
      </c>
      <c r="F20" s="60">
        <f>IFERROR(__xludf.DUMMYFUNCTION("IFERROR(SUM(FILTER(FILTER('FY22 Budget'!$F$1:$AC$71,'FY22 Budget'!$F$1:$AC$1&gt;=(F$1),'FY22 Budget'!$F$1:$AC$1&lt;(G$1)),'FY22 Budget'!$C$1:$C$71=$D20)),"""")"),5639.97)</f>
        <v>5639.97</v>
      </c>
      <c r="G20" s="60">
        <f>IFERROR(__xludf.DUMMYFUNCTION("IFERROR(SUM(FILTER(FILTER('FY22 Budget'!$F$1:$AC$71,'FY22 Budget'!$F$1:$AC$1&gt;=(G$1),'FY22 Budget'!$F$1:$AC$1&lt;(H$1)),'FY22 Budget'!$C$1:$C$71=$D20)),"""")"),5639.97)</f>
        <v>5639.97</v>
      </c>
      <c r="H20" s="60">
        <f>IFERROR(__xludf.DUMMYFUNCTION("IFERROR(SUM(FILTER(FILTER('FY22 Budget'!$F$1:$AC$71,'FY22 Budget'!$F$1:$AC$1&gt;=(H$1),'FY22 Budget'!$F$1:$AC$1&lt;(I$1)),'FY22 Budget'!$C$1:$C$71=$D20)),"""")"),5639.97)</f>
        <v>5639.97</v>
      </c>
      <c r="I20" s="60">
        <f>IFERROR(__xludf.DUMMYFUNCTION("IFERROR(SUM(FILTER(FILTER('FY22 Budget'!$F$1:$AC$71,'FY22 Budget'!$F$1:$AC$1&gt;=(I$1),'FY22 Budget'!$F$1:$AC$1&lt;(J$1)),'FY22 Budget'!$C$1:$C$71=$D20)),"""")"),5639.97)</f>
        <v>5639.97</v>
      </c>
      <c r="J20" s="60">
        <f>IFERROR(__xludf.DUMMYFUNCTION("IFERROR(SUM(FILTER(FILTER('FY22 Budget'!$F$1:$AC$71,'FY22 Budget'!$F$1:$AC$1&gt;=(J$1),'FY22 Budget'!$F$1:$AC$1&lt;(K$1)),'FY22 Budget'!$C$1:$C$71=$D20)),"""")"),5639.97)</f>
        <v>5639.97</v>
      </c>
      <c r="K20" s="60">
        <f>IFERROR(__xludf.DUMMYFUNCTION("IFERROR(SUM(FILTER(FILTER('FY22 Budget'!$F$1:$AC$71,'FY22 Budget'!$F$1:$AC$1&gt;=(K$1),'FY22 Budget'!$F$1:$AC$1&lt;(L$1)),'FY22 Budget'!$C$1:$C$71=$D20)),"""")"),5639.97)</f>
        <v>5639.97</v>
      </c>
      <c r="L20" s="60">
        <f>IFERROR(__xludf.DUMMYFUNCTION("IFERROR(SUM(FILTER(FILTER('FY22 Budget'!$F$1:$AC$71,'FY22 Budget'!$F$1:$AC$1&gt;=(L$1),'FY22 Budget'!$F$1:$AC$1&lt;(M$1)),'FY22 Budget'!$C$1:$C$71=$D20)),"""")"),5639.97)</f>
        <v>5639.97</v>
      </c>
      <c r="M20" s="60">
        <f>IFERROR(__xludf.DUMMYFUNCTION("IFERROR(SUM(FILTER(FILTER('FY22 Budget'!$F$1:$AC$71,'FY22 Budget'!$F$1:$AC$1&gt;=(M$1),'FY22 Budget'!$F$1:$AC$1&lt;(N$1)),'FY22 Budget'!$C$1:$C$71=$D20)),"""")"),5639.97)</f>
        <v>5639.97</v>
      </c>
      <c r="N20" s="60">
        <f>IFERROR(__xludf.DUMMYFUNCTION("IFERROR(SUM(FILTER(FILTER('FY22 Budget'!$F$1:$AC$71,'FY22 Budget'!$F$1:$AC$1&gt;=(N$1),'FY22 Budget'!$F$1:$AC$1&lt;(O$1)),'FY22 Budget'!$C$1:$C$71=$D20)),"""")"),5639.97)</f>
        <v>5639.97</v>
      </c>
      <c r="O20" s="60">
        <f>IFERROR(__xludf.DUMMYFUNCTION("IFERROR(SUM(FILTER(FILTER('FY22 Budget'!$F$1:$AC$71,'FY22 Budget'!$F$1:$AC$1&gt;=(O$1),'FY22 Budget'!$F$1:$AC$1&lt;(P$1)),'FY22 Budget'!$C$1:$C$71=$D20)),"""")"),5639.97)</f>
        <v>5639.97</v>
      </c>
      <c r="P20" s="60">
        <f>IFERROR(__xludf.DUMMYFUNCTION("IFERROR(SUM(FILTER(FILTER('FY22 Budget'!$F$1:$AC$71,'FY22 Budget'!$F$1:$AC$1&gt;=(P$1),'FY22 Budget'!$F$1:$AC$1&lt;(Q$1)),'FY22 Budget'!$C$1:$C$71=$D20)),"""")"),5639.97)</f>
        <v>5639.97</v>
      </c>
      <c r="Q20" s="48"/>
      <c r="R20" s="60"/>
      <c r="S20" s="60">
        <f t="shared" ref="S20:AD20" si="19">SUM($E20:E20)</f>
        <v>5639.97</v>
      </c>
      <c r="T20" s="60">
        <f t="shared" si="19"/>
        <v>11279.94</v>
      </c>
      <c r="U20" s="60">
        <f t="shared" si="19"/>
        <v>16919.91</v>
      </c>
      <c r="V20" s="60">
        <f t="shared" si="19"/>
        <v>22559.88</v>
      </c>
      <c r="W20" s="60">
        <f t="shared" si="19"/>
        <v>28199.85</v>
      </c>
      <c r="X20" s="60">
        <f t="shared" si="19"/>
        <v>33839.82</v>
      </c>
      <c r="Y20" s="60">
        <f t="shared" si="19"/>
        <v>39479.79</v>
      </c>
      <c r="Z20" s="60">
        <f t="shared" si="19"/>
        <v>45119.76</v>
      </c>
      <c r="AA20" s="60">
        <f t="shared" si="19"/>
        <v>50759.73</v>
      </c>
      <c r="AB20" s="60">
        <f t="shared" si="19"/>
        <v>56399.7</v>
      </c>
      <c r="AC20" s="60">
        <f t="shared" si="19"/>
        <v>62039.67</v>
      </c>
      <c r="AD20" s="60">
        <f t="shared" si="19"/>
        <v>67679.64</v>
      </c>
      <c r="AE20" s="48"/>
    </row>
    <row r="21" hidden="1">
      <c r="A21" s="41" t="s">
        <v>14</v>
      </c>
      <c r="B21" s="41" t="s">
        <v>35</v>
      </c>
      <c r="C21" s="41" t="s">
        <v>24</v>
      </c>
      <c r="D21" s="59" t="s">
        <v>66</v>
      </c>
      <c r="E21" s="60">
        <f>IFERROR(__xludf.DUMMYFUNCTION("IFERROR(SUM(FILTER(FILTER('FY22 Budget'!$F$1:$AC$71,'FY22 Budget'!$F$1:$AC$1&gt;=(E$1),'FY22 Budget'!$F$1:$AC$1&lt;(F$1)),'FY22 Budget'!$C$1:$C$71=$D21)),"""")"),1319.03)</f>
        <v>1319.03</v>
      </c>
      <c r="F21" s="60">
        <f>IFERROR(__xludf.DUMMYFUNCTION("IFERROR(SUM(FILTER(FILTER('FY22 Budget'!$F$1:$AC$71,'FY22 Budget'!$F$1:$AC$1&gt;=(F$1),'FY22 Budget'!$F$1:$AC$1&lt;(G$1)),'FY22 Budget'!$C$1:$C$71=$D21)),"""")"),1319.03)</f>
        <v>1319.03</v>
      </c>
      <c r="G21" s="60">
        <f>IFERROR(__xludf.DUMMYFUNCTION("IFERROR(SUM(FILTER(FILTER('FY22 Budget'!$F$1:$AC$71,'FY22 Budget'!$F$1:$AC$1&gt;=(G$1),'FY22 Budget'!$F$1:$AC$1&lt;(H$1)),'FY22 Budget'!$C$1:$C$71=$D21)),"""")"),1319.03)</f>
        <v>1319.03</v>
      </c>
      <c r="H21" s="60">
        <f>IFERROR(__xludf.DUMMYFUNCTION("IFERROR(SUM(FILTER(FILTER('FY22 Budget'!$F$1:$AC$71,'FY22 Budget'!$F$1:$AC$1&gt;=(H$1),'FY22 Budget'!$F$1:$AC$1&lt;(I$1)),'FY22 Budget'!$C$1:$C$71=$D21)),"""")"),1319.03)</f>
        <v>1319.03</v>
      </c>
      <c r="I21" s="60">
        <f>IFERROR(__xludf.DUMMYFUNCTION("IFERROR(SUM(FILTER(FILTER('FY22 Budget'!$F$1:$AC$71,'FY22 Budget'!$F$1:$AC$1&gt;=(I$1),'FY22 Budget'!$F$1:$AC$1&lt;(J$1)),'FY22 Budget'!$C$1:$C$71=$D21)),"""")"),1319.03)</f>
        <v>1319.03</v>
      </c>
      <c r="J21" s="60">
        <f>IFERROR(__xludf.DUMMYFUNCTION("IFERROR(SUM(FILTER(FILTER('FY22 Budget'!$F$1:$AC$71,'FY22 Budget'!$F$1:$AC$1&gt;=(J$1),'FY22 Budget'!$F$1:$AC$1&lt;(K$1)),'FY22 Budget'!$C$1:$C$71=$D21)),"""")"),1319.03)</f>
        <v>1319.03</v>
      </c>
      <c r="K21" s="60">
        <f>IFERROR(__xludf.DUMMYFUNCTION("IFERROR(SUM(FILTER(FILTER('FY22 Budget'!$F$1:$AC$71,'FY22 Budget'!$F$1:$AC$1&gt;=(K$1),'FY22 Budget'!$F$1:$AC$1&lt;(L$1)),'FY22 Budget'!$C$1:$C$71=$D21)),"""")"),1319.03)</f>
        <v>1319.03</v>
      </c>
      <c r="L21" s="60">
        <f>IFERROR(__xludf.DUMMYFUNCTION("IFERROR(SUM(FILTER(FILTER('FY22 Budget'!$F$1:$AC$71,'FY22 Budget'!$F$1:$AC$1&gt;=(L$1),'FY22 Budget'!$F$1:$AC$1&lt;(M$1)),'FY22 Budget'!$C$1:$C$71=$D21)),"""")"),1319.03)</f>
        <v>1319.03</v>
      </c>
      <c r="M21" s="60">
        <f>IFERROR(__xludf.DUMMYFUNCTION("IFERROR(SUM(FILTER(FILTER('FY22 Budget'!$F$1:$AC$71,'FY22 Budget'!$F$1:$AC$1&gt;=(M$1),'FY22 Budget'!$F$1:$AC$1&lt;(N$1)),'FY22 Budget'!$C$1:$C$71=$D21)),"""")"),1319.03)</f>
        <v>1319.03</v>
      </c>
      <c r="N21" s="60">
        <f>IFERROR(__xludf.DUMMYFUNCTION("IFERROR(SUM(FILTER(FILTER('FY22 Budget'!$F$1:$AC$71,'FY22 Budget'!$F$1:$AC$1&gt;=(N$1),'FY22 Budget'!$F$1:$AC$1&lt;(O$1)),'FY22 Budget'!$C$1:$C$71=$D21)),"""")"),1319.03)</f>
        <v>1319.03</v>
      </c>
      <c r="O21" s="60">
        <f>IFERROR(__xludf.DUMMYFUNCTION("IFERROR(SUM(FILTER(FILTER('FY22 Budget'!$F$1:$AC$71,'FY22 Budget'!$F$1:$AC$1&gt;=(O$1),'FY22 Budget'!$F$1:$AC$1&lt;(P$1)),'FY22 Budget'!$C$1:$C$71=$D21)),"""")"),1319.03)</f>
        <v>1319.03</v>
      </c>
      <c r="P21" s="60">
        <f>IFERROR(__xludf.DUMMYFUNCTION("IFERROR(SUM(FILTER(FILTER('FY22 Budget'!$F$1:$AC$71,'FY22 Budget'!$F$1:$AC$1&gt;=(P$1),'FY22 Budget'!$F$1:$AC$1&lt;(Q$1)),'FY22 Budget'!$C$1:$C$71=$D21)),"""")"),1319.03)</f>
        <v>1319.03</v>
      </c>
      <c r="Q21" s="48"/>
      <c r="R21" s="60"/>
      <c r="S21" s="60">
        <f t="shared" ref="S21:AD21" si="20">SUM($E21:E21)</f>
        <v>1319.03</v>
      </c>
      <c r="T21" s="60">
        <f t="shared" si="20"/>
        <v>2638.06</v>
      </c>
      <c r="U21" s="60">
        <f t="shared" si="20"/>
        <v>3957.09</v>
      </c>
      <c r="V21" s="60">
        <f t="shared" si="20"/>
        <v>5276.12</v>
      </c>
      <c r="W21" s="60">
        <f t="shared" si="20"/>
        <v>6595.15</v>
      </c>
      <c r="X21" s="60">
        <f t="shared" si="20"/>
        <v>7914.18</v>
      </c>
      <c r="Y21" s="60">
        <f t="shared" si="20"/>
        <v>9233.21</v>
      </c>
      <c r="Z21" s="60">
        <f t="shared" si="20"/>
        <v>10552.24</v>
      </c>
      <c r="AA21" s="60">
        <f t="shared" si="20"/>
        <v>11871.27</v>
      </c>
      <c r="AB21" s="60">
        <f t="shared" si="20"/>
        <v>13190.3</v>
      </c>
      <c r="AC21" s="60">
        <f t="shared" si="20"/>
        <v>14509.33</v>
      </c>
      <c r="AD21" s="60">
        <f t="shared" si="20"/>
        <v>15828.36</v>
      </c>
      <c r="AE21" s="48"/>
    </row>
    <row r="22" hidden="1">
      <c r="A22" s="41" t="s">
        <v>14</v>
      </c>
      <c r="B22" s="41" t="s">
        <v>35</v>
      </c>
      <c r="C22" s="41" t="s">
        <v>24</v>
      </c>
      <c r="D22" s="59" t="s">
        <v>67</v>
      </c>
      <c r="E22" s="60">
        <f>IFERROR(__xludf.DUMMYFUNCTION("IFERROR(SUM(FILTER(FILTER('FY22 Budget'!$F$1:$AC$71,'FY22 Budget'!$F$1:$AC$1&gt;=(E$1),'FY22 Budget'!$F$1:$AC$1&lt;(F$1)),'FY22 Budget'!$C$1:$C$71=$D22)),"""")"),6750.0)</f>
        <v>6750</v>
      </c>
      <c r="F22" s="60">
        <f>IFERROR(__xludf.DUMMYFUNCTION("IFERROR(SUM(FILTER(FILTER('FY22 Budget'!$F$1:$AC$71,'FY22 Budget'!$F$1:$AC$1&gt;=(F$1),'FY22 Budget'!$F$1:$AC$1&lt;(G$1)),'FY22 Budget'!$C$1:$C$71=$D22)),"""")"),6750.0)</f>
        <v>6750</v>
      </c>
      <c r="G22" s="60">
        <f>IFERROR(__xludf.DUMMYFUNCTION("IFERROR(SUM(FILTER(FILTER('FY22 Budget'!$F$1:$AC$71,'FY22 Budget'!$F$1:$AC$1&gt;=(G$1),'FY22 Budget'!$F$1:$AC$1&lt;(H$1)),'FY22 Budget'!$C$1:$C$71=$D22)),"""")"),6750.0)</f>
        <v>6750</v>
      </c>
      <c r="H22" s="60">
        <f>IFERROR(__xludf.DUMMYFUNCTION("IFERROR(SUM(FILTER(FILTER('FY22 Budget'!$F$1:$AC$71,'FY22 Budget'!$F$1:$AC$1&gt;=(H$1),'FY22 Budget'!$F$1:$AC$1&lt;(I$1)),'FY22 Budget'!$C$1:$C$71=$D22)),"""")"),6750.0)</f>
        <v>6750</v>
      </c>
      <c r="I22" s="60">
        <f>IFERROR(__xludf.DUMMYFUNCTION("IFERROR(SUM(FILTER(FILTER('FY22 Budget'!$F$1:$AC$71,'FY22 Budget'!$F$1:$AC$1&gt;=(I$1),'FY22 Budget'!$F$1:$AC$1&lt;(J$1)),'FY22 Budget'!$C$1:$C$71=$D22)),"""")"),6750.0)</f>
        <v>6750</v>
      </c>
      <c r="J22" s="60">
        <f>IFERROR(__xludf.DUMMYFUNCTION("IFERROR(SUM(FILTER(FILTER('FY22 Budget'!$F$1:$AC$71,'FY22 Budget'!$F$1:$AC$1&gt;=(J$1),'FY22 Budget'!$F$1:$AC$1&lt;(K$1)),'FY22 Budget'!$C$1:$C$71=$D22)),"""")"),6750.0)</f>
        <v>6750</v>
      </c>
      <c r="K22" s="60">
        <f>IFERROR(__xludf.DUMMYFUNCTION("IFERROR(SUM(FILTER(FILTER('FY22 Budget'!$F$1:$AC$71,'FY22 Budget'!$F$1:$AC$1&gt;=(K$1),'FY22 Budget'!$F$1:$AC$1&lt;(L$1)),'FY22 Budget'!$C$1:$C$71=$D22)),"""")"),6750.0)</f>
        <v>6750</v>
      </c>
      <c r="L22" s="60">
        <f>IFERROR(__xludf.DUMMYFUNCTION("IFERROR(SUM(FILTER(FILTER('FY22 Budget'!$F$1:$AC$71,'FY22 Budget'!$F$1:$AC$1&gt;=(L$1),'FY22 Budget'!$F$1:$AC$1&lt;(M$1)),'FY22 Budget'!$C$1:$C$71=$D22)),"""")"),6750.0)</f>
        <v>6750</v>
      </c>
      <c r="M22" s="60">
        <f>IFERROR(__xludf.DUMMYFUNCTION("IFERROR(SUM(FILTER(FILTER('FY22 Budget'!$F$1:$AC$71,'FY22 Budget'!$F$1:$AC$1&gt;=(M$1),'FY22 Budget'!$F$1:$AC$1&lt;(N$1)),'FY22 Budget'!$C$1:$C$71=$D22)),"""")"),6750.0)</f>
        <v>6750</v>
      </c>
      <c r="N22" s="60">
        <f>IFERROR(__xludf.DUMMYFUNCTION("IFERROR(SUM(FILTER(FILTER('FY22 Budget'!$F$1:$AC$71,'FY22 Budget'!$F$1:$AC$1&gt;=(N$1),'FY22 Budget'!$F$1:$AC$1&lt;(O$1)),'FY22 Budget'!$C$1:$C$71=$D22)),"""")"),6750.0)</f>
        <v>6750</v>
      </c>
      <c r="O22" s="60">
        <f>IFERROR(__xludf.DUMMYFUNCTION("IFERROR(SUM(FILTER(FILTER('FY22 Budget'!$F$1:$AC$71,'FY22 Budget'!$F$1:$AC$1&gt;=(O$1),'FY22 Budget'!$F$1:$AC$1&lt;(P$1)),'FY22 Budget'!$C$1:$C$71=$D22)),"""")"),6750.0)</f>
        <v>6750</v>
      </c>
      <c r="P22" s="60">
        <f>IFERROR(__xludf.DUMMYFUNCTION("IFERROR(SUM(FILTER(FILTER('FY22 Budget'!$F$1:$AC$71,'FY22 Budget'!$F$1:$AC$1&gt;=(P$1),'FY22 Budget'!$F$1:$AC$1&lt;(Q$1)),'FY22 Budget'!$C$1:$C$71=$D22)),"""")"),6750.0)</f>
        <v>6750</v>
      </c>
      <c r="Q22" s="48"/>
      <c r="R22" s="60"/>
      <c r="S22" s="60">
        <f t="shared" ref="S22:AD22" si="21">SUM($E22:E22)</f>
        <v>6750</v>
      </c>
      <c r="T22" s="60">
        <f t="shared" si="21"/>
        <v>13500</v>
      </c>
      <c r="U22" s="60">
        <f t="shared" si="21"/>
        <v>20250</v>
      </c>
      <c r="V22" s="60">
        <f t="shared" si="21"/>
        <v>27000</v>
      </c>
      <c r="W22" s="60">
        <f t="shared" si="21"/>
        <v>33750</v>
      </c>
      <c r="X22" s="60">
        <f t="shared" si="21"/>
        <v>40500</v>
      </c>
      <c r="Y22" s="60">
        <f t="shared" si="21"/>
        <v>47250</v>
      </c>
      <c r="Z22" s="60">
        <f t="shared" si="21"/>
        <v>54000</v>
      </c>
      <c r="AA22" s="60">
        <f t="shared" si="21"/>
        <v>60750</v>
      </c>
      <c r="AB22" s="60">
        <f t="shared" si="21"/>
        <v>67500</v>
      </c>
      <c r="AC22" s="60">
        <f t="shared" si="21"/>
        <v>74250</v>
      </c>
      <c r="AD22" s="60">
        <f t="shared" si="21"/>
        <v>81000</v>
      </c>
      <c r="AE22" s="48"/>
    </row>
    <row r="23" hidden="1">
      <c r="A23" s="41" t="s">
        <v>14</v>
      </c>
      <c r="B23" s="41" t="s">
        <v>35</v>
      </c>
      <c r="C23" s="41" t="s">
        <v>28</v>
      </c>
      <c r="D23" s="59" t="s">
        <v>68</v>
      </c>
      <c r="E23" s="60">
        <f>IFERROR(__xludf.DUMMYFUNCTION("IFERROR(SUM(FILTER(FILTER('FY22 Budget'!$F$1:$AC$71,'FY22 Budget'!$F$1:$AC$1&gt;=(E$1),'FY22 Budget'!$F$1:$AC$1&lt;(F$1)),'FY22 Budget'!$C$1:$C$71=$D23)),"""")"),53222.119999999995)</f>
        <v>53222.12</v>
      </c>
      <c r="F23" s="60">
        <f>IFERROR(__xludf.DUMMYFUNCTION("IFERROR(SUM(FILTER(FILTER('FY22 Budget'!$F$1:$AC$71,'FY22 Budget'!$F$1:$AC$1&gt;=(F$1),'FY22 Budget'!$F$1:$AC$1&lt;(G$1)),'FY22 Budget'!$C$1:$C$71=$D23)),"""")"),51585.42)</f>
        <v>51585.42</v>
      </c>
      <c r="G23" s="60">
        <f>IFERROR(__xludf.DUMMYFUNCTION("IFERROR(SUM(FILTER(FILTER('FY22 Budget'!$F$1:$AC$71,'FY22 Budget'!$F$1:$AC$1&gt;=(G$1),'FY22 Budget'!$F$1:$AC$1&lt;(H$1)),'FY22 Budget'!$C$1:$C$71=$D23)),"""")"),43746.52)</f>
        <v>43746.52</v>
      </c>
      <c r="H23" s="60">
        <f>IFERROR(__xludf.DUMMYFUNCTION("IFERROR(SUM(FILTER(FILTER('FY22 Budget'!$F$1:$AC$71,'FY22 Budget'!$F$1:$AC$1&gt;=(H$1),'FY22 Budget'!$F$1:$AC$1&lt;(I$1)),'FY22 Budget'!$C$1:$C$71=$D23)),"""")"),42073.82)</f>
        <v>42073.82</v>
      </c>
      <c r="I23" s="60">
        <f>IFERROR(__xludf.DUMMYFUNCTION("IFERROR(SUM(FILTER(FILTER('FY22 Budget'!$F$1:$AC$71,'FY22 Budget'!$F$1:$AC$1&gt;=(I$1),'FY22 Budget'!$F$1:$AC$1&lt;(J$1)),'FY22 Budget'!$C$1:$C$71=$D23)),"""")"),42073.82)</f>
        <v>42073.82</v>
      </c>
      <c r="J23" s="60">
        <f>IFERROR(__xludf.DUMMYFUNCTION("IFERROR(SUM(FILTER(FILTER('FY22 Budget'!$F$1:$AC$71,'FY22 Budget'!$F$1:$AC$1&gt;=(J$1),'FY22 Budget'!$F$1:$AC$1&lt;(K$1)),'FY22 Budget'!$C$1:$C$71=$D23)),"""")"),57073.82)</f>
        <v>57073.82</v>
      </c>
      <c r="K23" s="60">
        <f>IFERROR(__xludf.DUMMYFUNCTION("IFERROR(SUM(FILTER(FILTER('FY22 Budget'!$F$1:$AC$71,'FY22 Budget'!$F$1:$AC$1&gt;=(K$1),'FY22 Budget'!$F$1:$AC$1&lt;(L$1)),'FY22 Budget'!$C$1:$C$71=$D23)),"""")"),44406.02)</f>
        <v>44406.02</v>
      </c>
      <c r="L23" s="60">
        <f>IFERROR(__xludf.DUMMYFUNCTION("IFERROR(SUM(FILTER(FILTER('FY22 Budget'!$F$1:$AC$71,'FY22 Budget'!$F$1:$AC$1&gt;=(L$1),'FY22 Budget'!$F$1:$AC$1&lt;(M$1)),'FY22 Budget'!$C$1:$C$71=$D23)),"""")"),42073.82)</f>
        <v>42073.82</v>
      </c>
      <c r="M23" s="60">
        <f>IFERROR(__xludf.DUMMYFUNCTION("IFERROR(SUM(FILTER(FILTER('FY22 Budget'!$F$1:$AC$71,'FY22 Budget'!$F$1:$AC$1&gt;=(M$1),'FY22 Budget'!$F$1:$AC$1&lt;(N$1)),'FY22 Budget'!$C$1:$C$71=$D23)),"""")"),42073.82)</f>
        <v>42073.82</v>
      </c>
      <c r="N23" s="60">
        <f>IFERROR(__xludf.DUMMYFUNCTION("IFERROR(SUM(FILTER(FILTER('FY22 Budget'!$F$1:$AC$71,'FY22 Budget'!$F$1:$AC$1&gt;=(N$1),'FY22 Budget'!$F$1:$AC$1&lt;(O$1)),'FY22 Budget'!$C$1:$C$71=$D23)),"""")"),42073.82)</f>
        <v>42073.82</v>
      </c>
      <c r="O23" s="60">
        <f>IFERROR(__xludf.DUMMYFUNCTION("IFERROR(SUM(FILTER(FILTER('FY22 Budget'!$F$1:$AC$71,'FY22 Budget'!$F$1:$AC$1&gt;=(O$1),'FY22 Budget'!$F$1:$AC$1&lt;(P$1)),'FY22 Budget'!$C$1:$C$71=$D23)),"""")"),42073.82)</f>
        <v>42073.82</v>
      </c>
      <c r="P23" s="60">
        <f>IFERROR(__xludf.DUMMYFUNCTION("IFERROR(SUM(FILTER(FILTER('FY22 Budget'!$F$1:$AC$71,'FY22 Budget'!$F$1:$AC$1&gt;=(P$1),'FY22 Budget'!$F$1:$AC$1&lt;(Q$1)),'FY22 Budget'!$C$1:$C$71=$D23)),"""")"),42073.82)</f>
        <v>42073.82</v>
      </c>
      <c r="Q23" s="48"/>
      <c r="R23" s="60"/>
      <c r="S23" s="60">
        <f t="shared" ref="S23:AD23" si="22">SUM($E23:E23)</f>
        <v>53222.12</v>
      </c>
      <c r="T23" s="60">
        <f t="shared" si="22"/>
        <v>104807.54</v>
      </c>
      <c r="U23" s="60">
        <f t="shared" si="22"/>
        <v>148554.06</v>
      </c>
      <c r="V23" s="60">
        <f t="shared" si="22"/>
        <v>190627.88</v>
      </c>
      <c r="W23" s="60">
        <f t="shared" si="22"/>
        <v>232701.7</v>
      </c>
      <c r="X23" s="60">
        <f t="shared" si="22"/>
        <v>289775.52</v>
      </c>
      <c r="Y23" s="60">
        <f t="shared" si="22"/>
        <v>334181.54</v>
      </c>
      <c r="Z23" s="60">
        <f t="shared" si="22"/>
        <v>376255.36</v>
      </c>
      <c r="AA23" s="60">
        <f t="shared" si="22"/>
        <v>418329.18</v>
      </c>
      <c r="AB23" s="60">
        <f t="shared" si="22"/>
        <v>460403</v>
      </c>
      <c r="AC23" s="60">
        <f t="shared" si="22"/>
        <v>502476.82</v>
      </c>
      <c r="AD23" s="60">
        <f t="shared" si="22"/>
        <v>544550.64</v>
      </c>
      <c r="AE23" s="48"/>
    </row>
    <row r="24" hidden="1">
      <c r="A24" s="41" t="s">
        <v>14</v>
      </c>
      <c r="B24" s="41" t="s">
        <v>35</v>
      </c>
      <c r="C24" s="41" t="s">
        <v>28</v>
      </c>
      <c r="D24" s="59" t="s">
        <v>69</v>
      </c>
      <c r="E24" s="60">
        <f>IFERROR(__xludf.DUMMYFUNCTION("IFERROR(SUM(FILTER(FILTER('FY22 Budget'!$F$1:$AC$71,'FY22 Budget'!$F$1:$AC$1&gt;=(E$1),'FY22 Budget'!$F$1:$AC$1&lt;(F$1)),'FY22 Budget'!$C$1:$C$71=$D24)),"""")"),1817.96)</f>
        <v>1817.96</v>
      </c>
      <c r="F24" s="60">
        <f>IFERROR(__xludf.DUMMYFUNCTION("IFERROR(SUM(FILTER(FILTER('FY22 Budget'!$F$1:$AC$71,'FY22 Budget'!$F$1:$AC$1&gt;=(F$1),'FY22 Budget'!$F$1:$AC$1&lt;(G$1)),'FY22 Budget'!$C$1:$C$71=$D24)),"""")"),6059.9)</f>
        <v>6059.9</v>
      </c>
      <c r="G24" s="60">
        <f>IFERROR(__xludf.DUMMYFUNCTION("IFERROR(SUM(FILTER(FILTER('FY22 Budget'!$F$1:$AC$71,'FY22 Budget'!$F$1:$AC$1&gt;=(G$1),'FY22 Budget'!$F$1:$AC$1&lt;(H$1)),'FY22 Budget'!$C$1:$C$71=$D24)),"""")"),6059.9)</f>
        <v>6059.9</v>
      </c>
      <c r="H24" s="60">
        <f>IFERROR(__xludf.DUMMYFUNCTION("IFERROR(SUM(FILTER(FILTER('FY22 Budget'!$F$1:$AC$71,'FY22 Budget'!$F$1:$AC$1&gt;=(H$1),'FY22 Budget'!$F$1:$AC$1&lt;(I$1)),'FY22 Budget'!$C$1:$C$71=$D24)),"""")"),6059.9)</f>
        <v>6059.9</v>
      </c>
      <c r="I24" s="60">
        <f>IFERROR(__xludf.DUMMYFUNCTION("IFERROR(SUM(FILTER(FILTER('FY22 Budget'!$F$1:$AC$71,'FY22 Budget'!$F$1:$AC$1&gt;=(I$1),'FY22 Budget'!$F$1:$AC$1&lt;(J$1)),'FY22 Budget'!$C$1:$C$71=$D24)),"""")"),0.0)</f>
        <v>0</v>
      </c>
      <c r="J24" s="60">
        <f>IFERROR(__xludf.DUMMYFUNCTION("IFERROR(SUM(FILTER(FILTER('FY22 Budget'!$F$1:$AC$71,'FY22 Budget'!$F$1:$AC$1&gt;=(J$1),'FY22 Budget'!$F$1:$AC$1&lt;(K$1)),'FY22 Budget'!$C$1:$C$71=$D24)),"""")"),0.0)</f>
        <v>0</v>
      </c>
      <c r="K24" s="60">
        <f>IFERROR(__xludf.DUMMYFUNCTION("IFERROR(SUM(FILTER(FILTER('FY22 Budget'!$F$1:$AC$71,'FY22 Budget'!$F$1:$AC$1&gt;=(K$1),'FY22 Budget'!$F$1:$AC$1&lt;(L$1)),'FY22 Budget'!$C$1:$C$71=$D24)),"""")"),1817.96)</f>
        <v>1817.96</v>
      </c>
      <c r="L24" s="60">
        <f>IFERROR(__xludf.DUMMYFUNCTION("IFERROR(SUM(FILTER(FILTER('FY22 Budget'!$F$1:$AC$71,'FY22 Budget'!$F$1:$AC$1&gt;=(L$1),'FY22 Budget'!$F$1:$AC$1&lt;(M$1)),'FY22 Budget'!$C$1:$C$71=$D24)),"""")"),1817.96)</f>
        <v>1817.96</v>
      </c>
      <c r="M24" s="60">
        <f>IFERROR(__xludf.DUMMYFUNCTION("IFERROR(SUM(FILTER(FILTER('FY22 Budget'!$F$1:$AC$71,'FY22 Budget'!$F$1:$AC$1&gt;=(M$1),'FY22 Budget'!$F$1:$AC$1&lt;(N$1)),'FY22 Budget'!$C$1:$C$71=$D24)),"""")"),1817.96)</f>
        <v>1817.96</v>
      </c>
      <c r="N24" s="60">
        <f>IFERROR(__xludf.DUMMYFUNCTION("IFERROR(SUM(FILTER(FILTER('FY22 Budget'!$F$1:$AC$71,'FY22 Budget'!$F$1:$AC$1&gt;=(N$1),'FY22 Budget'!$F$1:$AC$1&lt;(O$1)),'FY22 Budget'!$C$1:$C$71=$D24)),"""")"),1817.96)</f>
        <v>1817.96</v>
      </c>
      <c r="O24" s="60">
        <f>IFERROR(__xludf.DUMMYFUNCTION("IFERROR(SUM(FILTER(FILTER('FY22 Budget'!$F$1:$AC$71,'FY22 Budget'!$F$1:$AC$1&gt;=(O$1),'FY22 Budget'!$F$1:$AC$1&lt;(P$1)),'FY22 Budget'!$C$1:$C$71=$D24)),"""")"),1817.96)</f>
        <v>1817.96</v>
      </c>
      <c r="P24" s="60">
        <f>IFERROR(__xludf.DUMMYFUNCTION("IFERROR(SUM(FILTER(FILTER('FY22 Budget'!$F$1:$AC$71,'FY22 Budget'!$F$1:$AC$1&gt;=(P$1),'FY22 Budget'!$F$1:$AC$1&lt;(Q$1)),'FY22 Budget'!$C$1:$C$71=$D24)),"""")"),1211.98)</f>
        <v>1211.98</v>
      </c>
      <c r="Q24" s="48"/>
      <c r="R24" s="60"/>
      <c r="S24" s="60">
        <f t="shared" ref="S24:AD24" si="23">SUM($E24:E24)</f>
        <v>1817.96</v>
      </c>
      <c r="T24" s="60">
        <f t="shared" si="23"/>
        <v>7877.86</v>
      </c>
      <c r="U24" s="60">
        <f t="shared" si="23"/>
        <v>13937.76</v>
      </c>
      <c r="V24" s="60">
        <f t="shared" si="23"/>
        <v>19997.66</v>
      </c>
      <c r="W24" s="60">
        <f t="shared" si="23"/>
        <v>19997.66</v>
      </c>
      <c r="X24" s="60">
        <f t="shared" si="23"/>
        <v>19997.66</v>
      </c>
      <c r="Y24" s="60">
        <f t="shared" si="23"/>
        <v>21815.62</v>
      </c>
      <c r="Z24" s="60">
        <f t="shared" si="23"/>
        <v>23633.58</v>
      </c>
      <c r="AA24" s="60">
        <f t="shared" si="23"/>
        <v>25451.54</v>
      </c>
      <c r="AB24" s="60">
        <f t="shared" si="23"/>
        <v>27269.5</v>
      </c>
      <c r="AC24" s="60">
        <f t="shared" si="23"/>
        <v>29087.46</v>
      </c>
      <c r="AD24" s="60">
        <f t="shared" si="23"/>
        <v>30299.44</v>
      </c>
      <c r="AE24" s="48"/>
    </row>
    <row r="25" hidden="1">
      <c r="A25" s="41" t="s">
        <v>14</v>
      </c>
      <c r="B25" s="41" t="s">
        <v>35</v>
      </c>
      <c r="C25" s="41" t="s">
        <v>28</v>
      </c>
      <c r="D25" s="59" t="s">
        <v>70</v>
      </c>
      <c r="E25" s="60">
        <f>IFERROR(__xludf.DUMMYFUNCTION("IFERROR(SUM(FILTER(FILTER('FY22 Budget'!$F$1:$AC$71,'FY22 Budget'!$F$1:$AC$1&gt;=(E$1),'FY22 Budget'!$F$1:$AC$1&lt;(F$1)),'FY22 Budget'!$C$1:$C$71=$D25)),"""")"),96724.7)</f>
        <v>96724.7</v>
      </c>
      <c r="F25" s="60">
        <f>IFERROR(__xludf.DUMMYFUNCTION("IFERROR(SUM(FILTER(FILTER('FY22 Budget'!$F$1:$AC$71,'FY22 Budget'!$F$1:$AC$1&gt;=(F$1),'FY22 Budget'!$F$1:$AC$1&lt;(G$1)),'FY22 Budget'!$C$1:$C$71=$D25)),"""")"),14990.0)</f>
        <v>14990</v>
      </c>
      <c r="G25" s="60">
        <f>IFERROR(__xludf.DUMMYFUNCTION("IFERROR(SUM(FILTER(FILTER('FY22 Budget'!$F$1:$AC$71,'FY22 Budget'!$F$1:$AC$1&gt;=(G$1),'FY22 Budget'!$F$1:$AC$1&lt;(H$1)),'FY22 Budget'!$C$1:$C$71=$D25)),"""")"),0.0)</f>
        <v>0</v>
      </c>
      <c r="H25" s="60">
        <f>IFERROR(__xludf.DUMMYFUNCTION("IFERROR(SUM(FILTER(FILTER('FY22 Budget'!$F$1:$AC$71,'FY22 Budget'!$F$1:$AC$1&gt;=(H$1),'FY22 Budget'!$F$1:$AC$1&lt;(I$1)),'FY22 Budget'!$C$1:$C$71=$D25)),"""")"),0.0)</f>
        <v>0</v>
      </c>
      <c r="I25" s="60">
        <f>IFERROR(__xludf.DUMMYFUNCTION("IFERROR(SUM(FILTER(FILTER('FY22 Budget'!$F$1:$AC$71,'FY22 Budget'!$F$1:$AC$1&gt;=(I$1),'FY22 Budget'!$F$1:$AC$1&lt;(J$1)),'FY22 Budget'!$C$1:$C$71=$D25)),"""")"),0.0)</f>
        <v>0</v>
      </c>
      <c r="J25" s="60">
        <f>IFERROR(__xludf.DUMMYFUNCTION("IFERROR(SUM(FILTER(FILTER('FY22 Budget'!$F$1:$AC$71,'FY22 Budget'!$F$1:$AC$1&gt;=(J$1),'FY22 Budget'!$F$1:$AC$1&lt;(K$1)),'FY22 Budget'!$C$1:$C$71=$D25)),"""")"),0.0)</f>
        <v>0</v>
      </c>
      <c r="K25" s="60">
        <f>IFERROR(__xludf.DUMMYFUNCTION("IFERROR(SUM(FILTER(FILTER('FY22 Budget'!$F$1:$AC$71,'FY22 Budget'!$F$1:$AC$1&gt;=(K$1),'FY22 Budget'!$F$1:$AC$1&lt;(L$1)),'FY22 Budget'!$C$1:$C$71=$D25)),"""")"),0.0)</f>
        <v>0</v>
      </c>
      <c r="L25" s="60">
        <f>IFERROR(__xludf.DUMMYFUNCTION("IFERROR(SUM(FILTER(FILTER('FY22 Budget'!$F$1:$AC$71,'FY22 Budget'!$F$1:$AC$1&gt;=(L$1),'FY22 Budget'!$F$1:$AC$1&lt;(M$1)),'FY22 Budget'!$C$1:$C$71=$D25)),"""")"),0.0)</f>
        <v>0</v>
      </c>
      <c r="M25" s="60">
        <f>IFERROR(__xludf.DUMMYFUNCTION("IFERROR(SUM(FILTER(FILTER('FY22 Budget'!$F$1:$AC$71,'FY22 Budget'!$F$1:$AC$1&gt;=(M$1),'FY22 Budget'!$F$1:$AC$1&lt;(N$1)),'FY22 Budget'!$C$1:$C$71=$D25)),"""")"),0.0)</f>
        <v>0</v>
      </c>
      <c r="N25" s="60">
        <f>IFERROR(__xludf.DUMMYFUNCTION("IFERROR(SUM(FILTER(FILTER('FY22 Budget'!$F$1:$AC$71,'FY22 Budget'!$F$1:$AC$1&gt;=(N$1),'FY22 Budget'!$F$1:$AC$1&lt;(O$1)),'FY22 Budget'!$C$1:$C$71=$D25)),"""")"),0.0)</f>
        <v>0</v>
      </c>
      <c r="O25" s="60">
        <f>IFERROR(__xludf.DUMMYFUNCTION("IFERROR(SUM(FILTER(FILTER('FY22 Budget'!$F$1:$AC$71,'FY22 Budget'!$F$1:$AC$1&gt;=(O$1),'FY22 Budget'!$F$1:$AC$1&lt;(P$1)),'FY22 Budget'!$C$1:$C$71=$D25)),"""")"),147168.0)</f>
        <v>147168</v>
      </c>
      <c r="P25" s="60">
        <f>IFERROR(__xludf.DUMMYFUNCTION("IFERROR(SUM(FILTER(FILTER('FY22 Budget'!$F$1:$AC$71,'FY22 Budget'!$F$1:$AC$1&gt;=(P$1),'FY22 Budget'!$F$1:$AC$1&lt;(Q$1)),'FY22 Budget'!$C$1:$C$71=$D25)),"""")"),2016.4)</f>
        <v>2016.4</v>
      </c>
      <c r="Q25" s="48"/>
      <c r="R25" s="60"/>
      <c r="S25" s="60">
        <f t="shared" ref="S25:AD25" si="24">SUM($E25:E25)</f>
        <v>96724.7</v>
      </c>
      <c r="T25" s="60">
        <f t="shared" si="24"/>
        <v>111714.7</v>
      </c>
      <c r="U25" s="60">
        <f t="shared" si="24"/>
        <v>111714.7</v>
      </c>
      <c r="V25" s="60">
        <f t="shared" si="24"/>
        <v>111714.7</v>
      </c>
      <c r="W25" s="60">
        <f t="shared" si="24"/>
        <v>111714.7</v>
      </c>
      <c r="X25" s="60">
        <f t="shared" si="24"/>
        <v>111714.7</v>
      </c>
      <c r="Y25" s="60">
        <f t="shared" si="24"/>
        <v>111714.7</v>
      </c>
      <c r="Z25" s="60">
        <f t="shared" si="24"/>
        <v>111714.7</v>
      </c>
      <c r="AA25" s="60">
        <f t="shared" si="24"/>
        <v>111714.7</v>
      </c>
      <c r="AB25" s="60">
        <f t="shared" si="24"/>
        <v>111714.7</v>
      </c>
      <c r="AC25" s="60">
        <f t="shared" si="24"/>
        <v>258882.7</v>
      </c>
      <c r="AD25" s="60">
        <f t="shared" si="24"/>
        <v>260899.1</v>
      </c>
      <c r="AE25" s="48"/>
    </row>
    <row r="26" hidden="1">
      <c r="A26" s="41" t="s">
        <v>14</v>
      </c>
      <c r="B26" s="41" t="s">
        <v>35</v>
      </c>
      <c r="C26" s="41" t="s">
        <v>28</v>
      </c>
      <c r="D26" s="59" t="s">
        <v>71</v>
      </c>
      <c r="E26" s="60">
        <f>IFERROR(__xludf.DUMMYFUNCTION("IFERROR(SUM(FILTER(FILTER('FY22 Budget'!$F$1:$AC$71,'FY22 Budget'!$F$1:$AC$1&gt;=(E$1),'FY22 Budget'!$F$1:$AC$1&lt;(F$1)),'FY22 Budget'!$C$1:$C$71=$D26)),"""")"),489.12)</f>
        <v>489.12</v>
      </c>
      <c r="F26" s="60">
        <f>IFERROR(__xludf.DUMMYFUNCTION("IFERROR(SUM(FILTER(FILTER('FY22 Budget'!$F$1:$AC$71,'FY22 Budget'!$F$1:$AC$1&gt;=(F$1),'FY22 Budget'!$F$1:$AC$1&lt;(G$1)),'FY22 Budget'!$C$1:$C$71=$D26)),"""")"),978.24)</f>
        <v>978.24</v>
      </c>
      <c r="G26" s="60">
        <f>IFERROR(__xludf.DUMMYFUNCTION("IFERROR(SUM(FILTER(FILTER('FY22 Budget'!$F$1:$AC$71,'FY22 Budget'!$F$1:$AC$1&gt;=(G$1),'FY22 Budget'!$F$1:$AC$1&lt;(H$1)),'FY22 Budget'!$C$1:$C$71=$D26)),"""")"),978.24)</f>
        <v>978.24</v>
      </c>
      <c r="H26" s="60">
        <f>IFERROR(__xludf.DUMMYFUNCTION("IFERROR(SUM(FILTER(FILTER('FY22 Budget'!$F$1:$AC$71,'FY22 Budget'!$F$1:$AC$1&gt;=(H$1),'FY22 Budget'!$F$1:$AC$1&lt;(I$1)),'FY22 Budget'!$C$1:$C$71=$D26)),"""")"),978.24)</f>
        <v>978.24</v>
      </c>
      <c r="I26" s="60">
        <f>IFERROR(__xludf.DUMMYFUNCTION("IFERROR(SUM(FILTER(FILTER('FY22 Budget'!$F$1:$AC$71,'FY22 Budget'!$F$1:$AC$1&gt;=(I$1),'FY22 Budget'!$F$1:$AC$1&lt;(J$1)),'FY22 Budget'!$C$1:$C$71=$D26)),"""")"),978.24)</f>
        <v>978.24</v>
      </c>
      <c r="J26" s="60">
        <f>IFERROR(__xludf.DUMMYFUNCTION("IFERROR(SUM(FILTER(FILTER('FY22 Budget'!$F$1:$AC$71,'FY22 Budget'!$F$1:$AC$1&gt;=(J$1),'FY22 Budget'!$F$1:$AC$1&lt;(K$1)),'FY22 Budget'!$C$1:$C$71=$D26)),"""")"),978.24)</f>
        <v>978.24</v>
      </c>
      <c r="K26" s="60">
        <f>IFERROR(__xludf.DUMMYFUNCTION("IFERROR(SUM(FILTER(FILTER('FY22 Budget'!$F$1:$AC$71,'FY22 Budget'!$F$1:$AC$1&gt;=(K$1),'FY22 Budget'!$F$1:$AC$1&lt;(L$1)),'FY22 Budget'!$C$1:$C$71=$D26)),"""")"),978.24)</f>
        <v>978.24</v>
      </c>
      <c r="L26" s="60">
        <f>IFERROR(__xludf.DUMMYFUNCTION("IFERROR(SUM(FILTER(FILTER('FY22 Budget'!$F$1:$AC$71,'FY22 Budget'!$F$1:$AC$1&gt;=(L$1),'FY22 Budget'!$F$1:$AC$1&lt;(M$1)),'FY22 Budget'!$C$1:$C$71=$D26)),"""")"),978.24)</f>
        <v>978.24</v>
      </c>
      <c r="M26" s="60">
        <f>IFERROR(__xludf.DUMMYFUNCTION("IFERROR(SUM(FILTER(FILTER('FY22 Budget'!$F$1:$AC$71,'FY22 Budget'!$F$1:$AC$1&gt;=(M$1),'FY22 Budget'!$F$1:$AC$1&lt;(N$1)),'FY22 Budget'!$C$1:$C$71=$D26)),"""")"),978.24)</f>
        <v>978.24</v>
      </c>
      <c r="N26" s="60">
        <f>IFERROR(__xludf.DUMMYFUNCTION("IFERROR(SUM(FILTER(FILTER('FY22 Budget'!$F$1:$AC$71,'FY22 Budget'!$F$1:$AC$1&gt;=(N$1),'FY22 Budget'!$F$1:$AC$1&lt;(O$1)),'FY22 Budget'!$C$1:$C$71=$D26)),"""")"),978.24)</f>
        <v>978.24</v>
      </c>
      <c r="O26" s="60">
        <f>IFERROR(__xludf.DUMMYFUNCTION("IFERROR(SUM(FILTER(FILTER('FY22 Budget'!$F$1:$AC$71,'FY22 Budget'!$F$1:$AC$1&gt;=(O$1),'FY22 Budget'!$F$1:$AC$1&lt;(P$1)),'FY22 Budget'!$C$1:$C$71=$D26)),"""")"),489.12)</f>
        <v>489.12</v>
      </c>
      <c r="P26" s="60">
        <f>IFERROR(__xludf.DUMMYFUNCTION("IFERROR(SUM(FILTER(FILTER('FY22 Budget'!$F$1:$AC$71,'FY22 Budget'!$F$1:$AC$1&gt;=(P$1),'FY22 Budget'!$F$1:$AC$1&lt;(Q$1)),'FY22 Budget'!$C$1:$C$71=$D26)),"""")"),0.0)</f>
        <v>0</v>
      </c>
      <c r="Q26" s="48"/>
      <c r="R26" s="60"/>
      <c r="S26" s="60">
        <f t="shared" ref="S26:AD26" si="25">SUM($E26:E26)</f>
        <v>489.12</v>
      </c>
      <c r="T26" s="60">
        <f t="shared" si="25"/>
        <v>1467.36</v>
      </c>
      <c r="U26" s="60">
        <f t="shared" si="25"/>
        <v>2445.6</v>
      </c>
      <c r="V26" s="60">
        <f t="shared" si="25"/>
        <v>3423.84</v>
      </c>
      <c r="W26" s="60">
        <f t="shared" si="25"/>
        <v>4402.08</v>
      </c>
      <c r="X26" s="60">
        <f t="shared" si="25"/>
        <v>5380.32</v>
      </c>
      <c r="Y26" s="60">
        <f t="shared" si="25"/>
        <v>6358.56</v>
      </c>
      <c r="Z26" s="60">
        <f t="shared" si="25"/>
        <v>7336.8</v>
      </c>
      <c r="AA26" s="60">
        <f t="shared" si="25"/>
        <v>8315.04</v>
      </c>
      <c r="AB26" s="60">
        <f t="shared" si="25"/>
        <v>9293.28</v>
      </c>
      <c r="AC26" s="60">
        <f t="shared" si="25"/>
        <v>9782.4</v>
      </c>
      <c r="AD26" s="60">
        <f t="shared" si="25"/>
        <v>9782.4</v>
      </c>
      <c r="AE26" s="48"/>
    </row>
    <row r="27" hidden="1">
      <c r="A27" s="41" t="s">
        <v>14</v>
      </c>
      <c r="B27" s="41" t="s">
        <v>35</v>
      </c>
      <c r="C27" s="41" t="s">
        <v>28</v>
      </c>
      <c r="D27" s="59" t="s">
        <v>72</v>
      </c>
      <c r="E27" s="60">
        <f>IFERROR(__xludf.DUMMYFUNCTION("IFERROR(SUM(FILTER(FILTER('FY22 Budget'!$F$1:$AC$71,'FY22 Budget'!$F$1:$AC$1&gt;=(E$1),'FY22 Budget'!$F$1:$AC$1&lt;(F$1)),'FY22 Budget'!$C$1:$C$71=$D27)),"""")"),2500.0)</f>
        <v>2500</v>
      </c>
      <c r="F27" s="60">
        <f>IFERROR(__xludf.DUMMYFUNCTION("IFERROR(SUM(FILTER(FILTER('FY22 Budget'!$F$1:$AC$71,'FY22 Budget'!$F$1:$AC$1&gt;=(F$1),'FY22 Budget'!$F$1:$AC$1&lt;(G$1)),'FY22 Budget'!$C$1:$C$71=$D27)),"""")"),2500.0)</f>
        <v>2500</v>
      </c>
      <c r="G27" s="60">
        <f>IFERROR(__xludf.DUMMYFUNCTION("IFERROR(SUM(FILTER(FILTER('FY22 Budget'!$F$1:$AC$71,'FY22 Budget'!$F$1:$AC$1&gt;=(G$1),'FY22 Budget'!$F$1:$AC$1&lt;(H$1)),'FY22 Budget'!$C$1:$C$71=$D27)),"""")"),2500.0)</f>
        <v>2500</v>
      </c>
      <c r="H27" s="60">
        <f>IFERROR(__xludf.DUMMYFUNCTION("IFERROR(SUM(FILTER(FILTER('FY22 Budget'!$F$1:$AC$71,'FY22 Budget'!$F$1:$AC$1&gt;=(H$1),'FY22 Budget'!$F$1:$AC$1&lt;(I$1)),'FY22 Budget'!$C$1:$C$71=$D27)),"""")"),2500.0)</f>
        <v>2500</v>
      </c>
      <c r="I27" s="60">
        <f>IFERROR(__xludf.DUMMYFUNCTION("IFERROR(SUM(FILTER(FILTER('FY22 Budget'!$F$1:$AC$71,'FY22 Budget'!$F$1:$AC$1&gt;=(I$1),'FY22 Budget'!$F$1:$AC$1&lt;(J$1)),'FY22 Budget'!$C$1:$C$71=$D27)),"""")"),2500.0)</f>
        <v>2500</v>
      </c>
      <c r="J27" s="60">
        <f>IFERROR(__xludf.DUMMYFUNCTION("IFERROR(SUM(FILTER(FILTER('FY22 Budget'!$F$1:$AC$71,'FY22 Budget'!$F$1:$AC$1&gt;=(J$1),'FY22 Budget'!$F$1:$AC$1&lt;(K$1)),'FY22 Budget'!$C$1:$C$71=$D27)),"""")"),2500.0)</f>
        <v>2500</v>
      </c>
      <c r="K27" s="60">
        <f>IFERROR(__xludf.DUMMYFUNCTION("IFERROR(SUM(FILTER(FILTER('FY22 Budget'!$F$1:$AC$71,'FY22 Budget'!$F$1:$AC$1&gt;=(K$1),'FY22 Budget'!$F$1:$AC$1&lt;(L$1)),'FY22 Budget'!$C$1:$C$71=$D27)),"""")"),2500.0)</f>
        <v>2500</v>
      </c>
      <c r="L27" s="60">
        <f>IFERROR(__xludf.DUMMYFUNCTION("IFERROR(SUM(FILTER(FILTER('FY22 Budget'!$F$1:$AC$71,'FY22 Budget'!$F$1:$AC$1&gt;=(L$1),'FY22 Budget'!$F$1:$AC$1&lt;(M$1)),'FY22 Budget'!$C$1:$C$71=$D27)),"""")"),2500.0)</f>
        <v>2500</v>
      </c>
      <c r="M27" s="60">
        <f>IFERROR(__xludf.DUMMYFUNCTION("IFERROR(SUM(FILTER(FILTER('FY22 Budget'!$F$1:$AC$71,'FY22 Budget'!$F$1:$AC$1&gt;=(M$1),'FY22 Budget'!$F$1:$AC$1&lt;(N$1)),'FY22 Budget'!$C$1:$C$71=$D27)),"""")"),2500.0)</f>
        <v>2500</v>
      </c>
      <c r="N27" s="60">
        <f>IFERROR(__xludf.DUMMYFUNCTION("IFERROR(SUM(FILTER(FILTER('FY22 Budget'!$F$1:$AC$71,'FY22 Budget'!$F$1:$AC$1&gt;=(N$1),'FY22 Budget'!$F$1:$AC$1&lt;(O$1)),'FY22 Budget'!$C$1:$C$71=$D27)),"""")"),2500.0)</f>
        <v>2500</v>
      </c>
      <c r="O27" s="60">
        <f>IFERROR(__xludf.DUMMYFUNCTION("IFERROR(SUM(FILTER(FILTER('FY22 Budget'!$F$1:$AC$71,'FY22 Budget'!$F$1:$AC$1&gt;=(O$1),'FY22 Budget'!$F$1:$AC$1&lt;(P$1)),'FY22 Budget'!$C$1:$C$71=$D27)),"""")"),2500.0)</f>
        <v>2500</v>
      </c>
      <c r="P27" s="60">
        <f>IFERROR(__xludf.DUMMYFUNCTION("IFERROR(SUM(FILTER(FILTER('FY22 Budget'!$F$1:$AC$71,'FY22 Budget'!$F$1:$AC$1&gt;=(P$1),'FY22 Budget'!$F$1:$AC$1&lt;(Q$1)),'FY22 Budget'!$C$1:$C$71=$D27)),"""")"),2500.0)</f>
        <v>2500</v>
      </c>
      <c r="Q27" s="48"/>
      <c r="R27" s="60"/>
      <c r="S27" s="60">
        <f t="shared" ref="S27:AD27" si="26">SUM($E27:E27)</f>
        <v>2500</v>
      </c>
      <c r="T27" s="60">
        <f t="shared" si="26"/>
        <v>5000</v>
      </c>
      <c r="U27" s="60">
        <f t="shared" si="26"/>
        <v>7500</v>
      </c>
      <c r="V27" s="60">
        <f t="shared" si="26"/>
        <v>10000</v>
      </c>
      <c r="W27" s="60">
        <f t="shared" si="26"/>
        <v>12500</v>
      </c>
      <c r="X27" s="60">
        <f t="shared" si="26"/>
        <v>15000</v>
      </c>
      <c r="Y27" s="60">
        <f t="shared" si="26"/>
        <v>17500</v>
      </c>
      <c r="Z27" s="60">
        <f t="shared" si="26"/>
        <v>20000</v>
      </c>
      <c r="AA27" s="60">
        <f t="shared" si="26"/>
        <v>22500</v>
      </c>
      <c r="AB27" s="60">
        <f t="shared" si="26"/>
        <v>25000</v>
      </c>
      <c r="AC27" s="60">
        <f t="shared" si="26"/>
        <v>27500</v>
      </c>
      <c r="AD27" s="60">
        <f t="shared" si="26"/>
        <v>30000</v>
      </c>
      <c r="AE27" s="48"/>
    </row>
    <row r="28" hidden="1">
      <c r="A28" s="41" t="s">
        <v>14</v>
      </c>
      <c r="B28" s="41" t="s">
        <v>35</v>
      </c>
      <c r="C28" s="41" t="s">
        <v>28</v>
      </c>
      <c r="D28" s="59" t="s">
        <v>73</v>
      </c>
      <c r="E28" s="60">
        <f>IFERROR(__xludf.DUMMYFUNCTION("IFERROR(SUM(FILTER(FILTER('FY22 Budget'!$F$1:$AC$71,'FY22 Budget'!$F$1:$AC$1&gt;=(E$1),'FY22 Budget'!$F$1:$AC$1&lt;(F$1)),'FY22 Budget'!$C$1:$C$71=$D28)),"""")"),350.0)</f>
        <v>350</v>
      </c>
      <c r="F28" s="60">
        <f>IFERROR(__xludf.DUMMYFUNCTION("IFERROR(SUM(FILTER(FILTER('FY22 Budget'!$F$1:$AC$71,'FY22 Budget'!$F$1:$AC$1&gt;=(F$1),'FY22 Budget'!$F$1:$AC$1&lt;(G$1)),'FY22 Budget'!$C$1:$C$71=$D28)),"""")"),350.0)</f>
        <v>350</v>
      </c>
      <c r="G28" s="60">
        <f>IFERROR(__xludf.DUMMYFUNCTION("IFERROR(SUM(FILTER(FILTER('FY22 Budget'!$F$1:$AC$71,'FY22 Budget'!$F$1:$AC$1&gt;=(G$1),'FY22 Budget'!$F$1:$AC$1&lt;(H$1)),'FY22 Budget'!$C$1:$C$71=$D28)),"""")"),350.0)</f>
        <v>350</v>
      </c>
      <c r="H28" s="60">
        <f>IFERROR(__xludf.DUMMYFUNCTION("IFERROR(SUM(FILTER(FILTER('FY22 Budget'!$F$1:$AC$71,'FY22 Budget'!$F$1:$AC$1&gt;=(H$1),'FY22 Budget'!$F$1:$AC$1&lt;(I$1)),'FY22 Budget'!$C$1:$C$71=$D28)),"""")"),350.0)</f>
        <v>350</v>
      </c>
      <c r="I28" s="60">
        <f>IFERROR(__xludf.DUMMYFUNCTION("IFERROR(SUM(FILTER(FILTER('FY22 Budget'!$F$1:$AC$71,'FY22 Budget'!$F$1:$AC$1&gt;=(I$1),'FY22 Budget'!$F$1:$AC$1&lt;(J$1)),'FY22 Budget'!$C$1:$C$71=$D28)),"""")"),350.0)</f>
        <v>350</v>
      </c>
      <c r="J28" s="60">
        <f>IFERROR(__xludf.DUMMYFUNCTION("IFERROR(SUM(FILTER(FILTER('FY22 Budget'!$F$1:$AC$71,'FY22 Budget'!$F$1:$AC$1&gt;=(J$1),'FY22 Budget'!$F$1:$AC$1&lt;(K$1)),'FY22 Budget'!$C$1:$C$71=$D28)),"""")"),350.0)</f>
        <v>350</v>
      </c>
      <c r="K28" s="60">
        <f>IFERROR(__xludf.DUMMYFUNCTION("IFERROR(SUM(FILTER(FILTER('FY22 Budget'!$F$1:$AC$71,'FY22 Budget'!$F$1:$AC$1&gt;=(K$1),'FY22 Budget'!$F$1:$AC$1&lt;(L$1)),'FY22 Budget'!$C$1:$C$71=$D28)),"""")"),350.0)</f>
        <v>350</v>
      </c>
      <c r="L28" s="60">
        <f>IFERROR(__xludf.DUMMYFUNCTION("IFERROR(SUM(FILTER(FILTER('FY22 Budget'!$F$1:$AC$71,'FY22 Budget'!$F$1:$AC$1&gt;=(L$1),'FY22 Budget'!$F$1:$AC$1&lt;(M$1)),'FY22 Budget'!$C$1:$C$71=$D28)),"""")"),350.0)</f>
        <v>350</v>
      </c>
      <c r="M28" s="60">
        <f>IFERROR(__xludf.DUMMYFUNCTION("IFERROR(SUM(FILTER(FILTER('FY22 Budget'!$F$1:$AC$71,'FY22 Budget'!$F$1:$AC$1&gt;=(M$1),'FY22 Budget'!$F$1:$AC$1&lt;(N$1)),'FY22 Budget'!$C$1:$C$71=$D28)),"""")"),350.0)</f>
        <v>350</v>
      </c>
      <c r="N28" s="60">
        <f>IFERROR(__xludf.DUMMYFUNCTION("IFERROR(SUM(FILTER(FILTER('FY22 Budget'!$F$1:$AC$71,'FY22 Budget'!$F$1:$AC$1&gt;=(N$1),'FY22 Budget'!$F$1:$AC$1&lt;(O$1)),'FY22 Budget'!$C$1:$C$71=$D28)),"""")"),350.0)</f>
        <v>350</v>
      </c>
      <c r="O28" s="60">
        <f>IFERROR(__xludf.DUMMYFUNCTION("IFERROR(SUM(FILTER(FILTER('FY22 Budget'!$F$1:$AC$71,'FY22 Budget'!$F$1:$AC$1&gt;=(O$1),'FY22 Budget'!$F$1:$AC$1&lt;(P$1)),'FY22 Budget'!$C$1:$C$71=$D28)),"""")"),350.0)</f>
        <v>350</v>
      </c>
      <c r="P28" s="60">
        <f>IFERROR(__xludf.DUMMYFUNCTION("IFERROR(SUM(FILTER(FILTER('FY22 Budget'!$F$1:$AC$71,'FY22 Budget'!$F$1:$AC$1&gt;=(P$1),'FY22 Budget'!$F$1:$AC$1&lt;(Q$1)),'FY22 Budget'!$C$1:$C$71=$D28)),"""")"),350.0)</f>
        <v>350</v>
      </c>
      <c r="Q28" s="48"/>
      <c r="R28" s="60"/>
      <c r="S28" s="60">
        <f t="shared" ref="S28:AD28" si="27">SUM($E28:E28)</f>
        <v>350</v>
      </c>
      <c r="T28" s="60">
        <f t="shared" si="27"/>
        <v>700</v>
      </c>
      <c r="U28" s="60">
        <f t="shared" si="27"/>
        <v>1050</v>
      </c>
      <c r="V28" s="60">
        <f t="shared" si="27"/>
        <v>1400</v>
      </c>
      <c r="W28" s="60">
        <f t="shared" si="27"/>
        <v>1750</v>
      </c>
      <c r="X28" s="60">
        <f t="shared" si="27"/>
        <v>2100</v>
      </c>
      <c r="Y28" s="60">
        <f t="shared" si="27"/>
        <v>2450</v>
      </c>
      <c r="Z28" s="60">
        <f t="shared" si="27"/>
        <v>2800</v>
      </c>
      <c r="AA28" s="60">
        <f t="shared" si="27"/>
        <v>3150</v>
      </c>
      <c r="AB28" s="60">
        <f t="shared" si="27"/>
        <v>3500</v>
      </c>
      <c r="AC28" s="60">
        <f t="shared" si="27"/>
        <v>3850</v>
      </c>
      <c r="AD28" s="60">
        <f t="shared" si="27"/>
        <v>4200</v>
      </c>
      <c r="AE28" s="48"/>
    </row>
    <row r="29" hidden="1">
      <c r="A29" s="41" t="s">
        <v>14</v>
      </c>
      <c r="B29" s="41" t="s">
        <v>35</v>
      </c>
      <c r="C29" s="41" t="s">
        <v>28</v>
      </c>
      <c r="D29" s="59" t="s">
        <v>74</v>
      </c>
      <c r="E29" s="60">
        <f>IFERROR(__xludf.DUMMYFUNCTION("IFERROR(SUM(FILTER(FILTER('FY22 Budget'!$F$1:$AC$71,'FY22 Budget'!$F$1:$AC$1&gt;=(E$1),'FY22 Budget'!$F$1:$AC$1&lt;(F$1)),'FY22 Budget'!$C$1:$C$71=$D29)),"""")"),155.0)</f>
        <v>155</v>
      </c>
      <c r="F29" s="60">
        <f>IFERROR(__xludf.DUMMYFUNCTION("IFERROR(SUM(FILTER(FILTER('FY22 Budget'!$F$1:$AC$71,'FY22 Budget'!$F$1:$AC$1&gt;=(F$1),'FY22 Budget'!$F$1:$AC$1&lt;(G$1)),'FY22 Budget'!$C$1:$C$71=$D29)),"""")"),155.0)</f>
        <v>155</v>
      </c>
      <c r="G29" s="60">
        <f>IFERROR(__xludf.DUMMYFUNCTION("IFERROR(SUM(FILTER(FILTER('FY22 Budget'!$F$1:$AC$71,'FY22 Budget'!$F$1:$AC$1&gt;=(G$1),'FY22 Budget'!$F$1:$AC$1&lt;(H$1)),'FY22 Budget'!$C$1:$C$71=$D29)),"""")"),155.0)</f>
        <v>155</v>
      </c>
      <c r="H29" s="60">
        <f>IFERROR(__xludf.DUMMYFUNCTION("IFERROR(SUM(FILTER(FILTER('FY22 Budget'!$F$1:$AC$71,'FY22 Budget'!$F$1:$AC$1&gt;=(H$1),'FY22 Budget'!$F$1:$AC$1&lt;(I$1)),'FY22 Budget'!$C$1:$C$71=$D29)),"""")"),155.0)</f>
        <v>155</v>
      </c>
      <c r="I29" s="60">
        <f>IFERROR(__xludf.DUMMYFUNCTION("IFERROR(SUM(FILTER(FILTER('FY22 Budget'!$F$1:$AC$71,'FY22 Budget'!$F$1:$AC$1&gt;=(I$1),'FY22 Budget'!$F$1:$AC$1&lt;(J$1)),'FY22 Budget'!$C$1:$C$71=$D29)),"""")"),155.0)</f>
        <v>155</v>
      </c>
      <c r="J29" s="60">
        <f>IFERROR(__xludf.DUMMYFUNCTION("IFERROR(SUM(FILTER(FILTER('FY22 Budget'!$F$1:$AC$71,'FY22 Budget'!$F$1:$AC$1&gt;=(J$1),'FY22 Budget'!$F$1:$AC$1&lt;(K$1)),'FY22 Budget'!$C$1:$C$71=$D29)),"""")"),155.0)</f>
        <v>155</v>
      </c>
      <c r="K29" s="60">
        <f>IFERROR(__xludf.DUMMYFUNCTION("IFERROR(SUM(FILTER(FILTER('FY22 Budget'!$F$1:$AC$71,'FY22 Budget'!$F$1:$AC$1&gt;=(K$1),'FY22 Budget'!$F$1:$AC$1&lt;(L$1)),'FY22 Budget'!$C$1:$C$71=$D29)),"""")"),155.0)</f>
        <v>155</v>
      </c>
      <c r="L29" s="60">
        <f>IFERROR(__xludf.DUMMYFUNCTION("IFERROR(SUM(FILTER(FILTER('FY22 Budget'!$F$1:$AC$71,'FY22 Budget'!$F$1:$AC$1&gt;=(L$1),'FY22 Budget'!$F$1:$AC$1&lt;(M$1)),'FY22 Budget'!$C$1:$C$71=$D29)),"""")"),155.0)</f>
        <v>155</v>
      </c>
      <c r="M29" s="60">
        <f>IFERROR(__xludf.DUMMYFUNCTION("IFERROR(SUM(FILTER(FILTER('FY22 Budget'!$F$1:$AC$71,'FY22 Budget'!$F$1:$AC$1&gt;=(M$1),'FY22 Budget'!$F$1:$AC$1&lt;(N$1)),'FY22 Budget'!$C$1:$C$71=$D29)),"""")"),155.0)</f>
        <v>155</v>
      </c>
      <c r="N29" s="60">
        <f>IFERROR(__xludf.DUMMYFUNCTION("IFERROR(SUM(FILTER(FILTER('FY22 Budget'!$F$1:$AC$71,'FY22 Budget'!$F$1:$AC$1&gt;=(N$1),'FY22 Budget'!$F$1:$AC$1&lt;(O$1)),'FY22 Budget'!$C$1:$C$71=$D29)),"""")"),155.0)</f>
        <v>155</v>
      </c>
      <c r="O29" s="60">
        <f>IFERROR(__xludf.DUMMYFUNCTION("IFERROR(SUM(FILTER(FILTER('FY22 Budget'!$F$1:$AC$71,'FY22 Budget'!$F$1:$AC$1&gt;=(O$1),'FY22 Budget'!$F$1:$AC$1&lt;(P$1)),'FY22 Budget'!$C$1:$C$71=$D29)),"""")"),155.0)</f>
        <v>155</v>
      </c>
      <c r="P29" s="60">
        <f>IFERROR(__xludf.DUMMYFUNCTION("IFERROR(SUM(FILTER(FILTER('FY22 Budget'!$F$1:$AC$71,'FY22 Budget'!$F$1:$AC$1&gt;=(P$1),'FY22 Budget'!$F$1:$AC$1&lt;(Q$1)),'FY22 Budget'!$C$1:$C$71=$D29)),"""")"),155.0)</f>
        <v>155</v>
      </c>
      <c r="Q29" s="48"/>
      <c r="R29" s="60"/>
      <c r="S29" s="60">
        <f t="shared" ref="S29:AD29" si="28">SUM($E29:E29)</f>
        <v>155</v>
      </c>
      <c r="T29" s="60">
        <f t="shared" si="28"/>
        <v>310</v>
      </c>
      <c r="U29" s="60">
        <f t="shared" si="28"/>
        <v>465</v>
      </c>
      <c r="V29" s="60">
        <f t="shared" si="28"/>
        <v>620</v>
      </c>
      <c r="W29" s="60">
        <f t="shared" si="28"/>
        <v>775</v>
      </c>
      <c r="X29" s="60">
        <f t="shared" si="28"/>
        <v>930</v>
      </c>
      <c r="Y29" s="60">
        <f t="shared" si="28"/>
        <v>1085</v>
      </c>
      <c r="Z29" s="60">
        <f t="shared" si="28"/>
        <v>1240</v>
      </c>
      <c r="AA29" s="60">
        <f t="shared" si="28"/>
        <v>1395</v>
      </c>
      <c r="AB29" s="60">
        <f t="shared" si="28"/>
        <v>1550</v>
      </c>
      <c r="AC29" s="60">
        <f t="shared" si="28"/>
        <v>1705</v>
      </c>
      <c r="AD29" s="60">
        <f t="shared" si="28"/>
        <v>1860</v>
      </c>
      <c r="AE29" s="48"/>
    </row>
    <row r="30" hidden="1">
      <c r="A30" s="41" t="s">
        <v>14</v>
      </c>
      <c r="B30" s="41" t="s">
        <v>35</v>
      </c>
      <c r="C30" s="41" t="s">
        <v>28</v>
      </c>
      <c r="D30" s="59" t="s">
        <v>75</v>
      </c>
      <c r="E30" s="60">
        <f>IFERROR(__xludf.DUMMYFUNCTION("IFERROR(SUM(FILTER(FILTER('FY22 Budget'!$F$1:$AC$71,'FY22 Budget'!$F$1:$AC$1&gt;=(E$1),'FY22 Budget'!$F$1:$AC$1&lt;(F$1)),'FY22 Budget'!$C$1:$C$71=$D30)),"""")"),36.25)</f>
        <v>36.25</v>
      </c>
      <c r="F30" s="60">
        <f>IFERROR(__xludf.DUMMYFUNCTION("IFERROR(SUM(FILTER(FILTER('FY22 Budget'!$F$1:$AC$71,'FY22 Budget'!$F$1:$AC$1&gt;=(F$1),'FY22 Budget'!$F$1:$AC$1&lt;(G$1)),'FY22 Budget'!$C$1:$C$71=$D30)),"""")"),36.25)</f>
        <v>36.25</v>
      </c>
      <c r="G30" s="60">
        <f>IFERROR(__xludf.DUMMYFUNCTION("IFERROR(SUM(FILTER(FILTER('FY22 Budget'!$F$1:$AC$71,'FY22 Budget'!$F$1:$AC$1&gt;=(G$1),'FY22 Budget'!$F$1:$AC$1&lt;(H$1)),'FY22 Budget'!$C$1:$C$71=$D30)),"""")"),36.25)</f>
        <v>36.25</v>
      </c>
      <c r="H30" s="60">
        <f>IFERROR(__xludf.DUMMYFUNCTION("IFERROR(SUM(FILTER(FILTER('FY22 Budget'!$F$1:$AC$71,'FY22 Budget'!$F$1:$AC$1&gt;=(H$1),'FY22 Budget'!$F$1:$AC$1&lt;(I$1)),'FY22 Budget'!$C$1:$C$71=$D30)),"""")"),36.25)</f>
        <v>36.25</v>
      </c>
      <c r="I30" s="60">
        <f>IFERROR(__xludf.DUMMYFUNCTION("IFERROR(SUM(FILTER(FILTER('FY22 Budget'!$F$1:$AC$71,'FY22 Budget'!$F$1:$AC$1&gt;=(I$1),'FY22 Budget'!$F$1:$AC$1&lt;(J$1)),'FY22 Budget'!$C$1:$C$71=$D30)),"""")"),36.25)</f>
        <v>36.25</v>
      </c>
      <c r="J30" s="60">
        <f>IFERROR(__xludf.DUMMYFUNCTION("IFERROR(SUM(FILTER(FILTER('FY22 Budget'!$F$1:$AC$71,'FY22 Budget'!$F$1:$AC$1&gt;=(J$1),'FY22 Budget'!$F$1:$AC$1&lt;(K$1)),'FY22 Budget'!$C$1:$C$71=$D30)),"""")"),36.25)</f>
        <v>36.25</v>
      </c>
      <c r="K30" s="60">
        <f>IFERROR(__xludf.DUMMYFUNCTION("IFERROR(SUM(FILTER(FILTER('FY22 Budget'!$F$1:$AC$71,'FY22 Budget'!$F$1:$AC$1&gt;=(K$1),'FY22 Budget'!$F$1:$AC$1&lt;(L$1)),'FY22 Budget'!$C$1:$C$71=$D30)),"""")"),36.25)</f>
        <v>36.25</v>
      </c>
      <c r="L30" s="60">
        <f>IFERROR(__xludf.DUMMYFUNCTION("IFERROR(SUM(FILTER(FILTER('FY22 Budget'!$F$1:$AC$71,'FY22 Budget'!$F$1:$AC$1&gt;=(L$1),'FY22 Budget'!$F$1:$AC$1&lt;(M$1)),'FY22 Budget'!$C$1:$C$71=$D30)),"""")"),36.25)</f>
        <v>36.25</v>
      </c>
      <c r="M30" s="60">
        <f>IFERROR(__xludf.DUMMYFUNCTION("IFERROR(SUM(FILTER(FILTER('FY22 Budget'!$F$1:$AC$71,'FY22 Budget'!$F$1:$AC$1&gt;=(M$1),'FY22 Budget'!$F$1:$AC$1&lt;(N$1)),'FY22 Budget'!$C$1:$C$71=$D30)),"""")"),36.25)</f>
        <v>36.25</v>
      </c>
      <c r="N30" s="60">
        <f>IFERROR(__xludf.DUMMYFUNCTION("IFERROR(SUM(FILTER(FILTER('FY22 Budget'!$F$1:$AC$71,'FY22 Budget'!$F$1:$AC$1&gt;=(N$1),'FY22 Budget'!$F$1:$AC$1&lt;(O$1)),'FY22 Budget'!$C$1:$C$71=$D30)),"""")"),36.25)</f>
        <v>36.25</v>
      </c>
      <c r="O30" s="60">
        <f>IFERROR(__xludf.DUMMYFUNCTION("IFERROR(SUM(FILTER(FILTER('FY22 Budget'!$F$1:$AC$71,'FY22 Budget'!$F$1:$AC$1&gt;=(O$1),'FY22 Budget'!$F$1:$AC$1&lt;(P$1)),'FY22 Budget'!$C$1:$C$71=$D30)),"""")"),36.25)</f>
        <v>36.25</v>
      </c>
      <c r="P30" s="60">
        <f>IFERROR(__xludf.DUMMYFUNCTION("IFERROR(SUM(FILTER(FILTER('FY22 Budget'!$F$1:$AC$71,'FY22 Budget'!$F$1:$AC$1&gt;=(P$1),'FY22 Budget'!$F$1:$AC$1&lt;(Q$1)),'FY22 Budget'!$C$1:$C$71=$D30)),"""")"),36.25)</f>
        <v>36.25</v>
      </c>
      <c r="Q30" s="48"/>
      <c r="R30" s="60"/>
      <c r="S30" s="60">
        <f t="shared" ref="S30:AD30" si="29">SUM($E30:E30)</f>
        <v>36.25</v>
      </c>
      <c r="T30" s="60">
        <f t="shared" si="29"/>
        <v>72.5</v>
      </c>
      <c r="U30" s="60">
        <f t="shared" si="29"/>
        <v>108.75</v>
      </c>
      <c r="V30" s="60">
        <f t="shared" si="29"/>
        <v>145</v>
      </c>
      <c r="W30" s="60">
        <f t="shared" si="29"/>
        <v>181.25</v>
      </c>
      <c r="X30" s="60">
        <f t="shared" si="29"/>
        <v>217.5</v>
      </c>
      <c r="Y30" s="60">
        <f t="shared" si="29"/>
        <v>253.75</v>
      </c>
      <c r="Z30" s="60">
        <f t="shared" si="29"/>
        <v>290</v>
      </c>
      <c r="AA30" s="60">
        <f t="shared" si="29"/>
        <v>326.25</v>
      </c>
      <c r="AB30" s="60">
        <f t="shared" si="29"/>
        <v>362.5</v>
      </c>
      <c r="AC30" s="60">
        <f t="shared" si="29"/>
        <v>398.75</v>
      </c>
      <c r="AD30" s="60">
        <f t="shared" si="29"/>
        <v>435</v>
      </c>
      <c r="AE30" s="48"/>
    </row>
    <row r="31" hidden="1">
      <c r="A31" s="41" t="s">
        <v>14</v>
      </c>
      <c r="B31" s="41" t="s">
        <v>35</v>
      </c>
      <c r="C31" s="41" t="s">
        <v>28</v>
      </c>
      <c r="D31" s="59" t="s">
        <v>76</v>
      </c>
      <c r="E31" s="60">
        <f>IFERROR(__xludf.DUMMYFUNCTION("IFERROR(SUM(FILTER(FILTER('FY22 Budget'!$F$1:$AC$71,'FY22 Budget'!$F$1:$AC$1&gt;=(E$1),'FY22 Budget'!$F$1:$AC$1&lt;(F$1)),'FY22 Budget'!$C$1:$C$71=$D31)),"""")"),281.25)</f>
        <v>281.25</v>
      </c>
      <c r="F31" s="60">
        <f>IFERROR(__xludf.DUMMYFUNCTION("IFERROR(SUM(FILTER(FILTER('FY22 Budget'!$F$1:$AC$71,'FY22 Budget'!$F$1:$AC$1&gt;=(F$1),'FY22 Budget'!$F$1:$AC$1&lt;(G$1)),'FY22 Budget'!$C$1:$C$71=$D31)),"""")"),281.25)</f>
        <v>281.25</v>
      </c>
      <c r="G31" s="60">
        <f>IFERROR(__xludf.DUMMYFUNCTION("IFERROR(SUM(FILTER(FILTER('FY22 Budget'!$F$1:$AC$71,'FY22 Budget'!$F$1:$AC$1&gt;=(G$1),'FY22 Budget'!$F$1:$AC$1&lt;(H$1)),'FY22 Budget'!$C$1:$C$71=$D31)),"""")"),281.25)</f>
        <v>281.25</v>
      </c>
      <c r="H31" s="60">
        <f>IFERROR(__xludf.DUMMYFUNCTION("IFERROR(SUM(FILTER(FILTER('FY22 Budget'!$F$1:$AC$71,'FY22 Budget'!$F$1:$AC$1&gt;=(H$1),'FY22 Budget'!$F$1:$AC$1&lt;(I$1)),'FY22 Budget'!$C$1:$C$71=$D31)),"""")"),281.25)</f>
        <v>281.25</v>
      </c>
      <c r="I31" s="60">
        <f>IFERROR(__xludf.DUMMYFUNCTION("IFERROR(SUM(FILTER(FILTER('FY22 Budget'!$F$1:$AC$71,'FY22 Budget'!$F$1:$AC$1&gt;=(I$1),'FY22 Budget'!$F$1:$AC$1&lt;(J$1)),'FY22 Budget'!$C$1:$C$71=$D31)),"""")"),281.25)</f>
        <v>281.25</v>
      </c>
      <c r="J31" s="60">
        <f>IFERROR(__xludf.DUMMYFUNCTION("IFERROR(SUM(FILTER(FILTER('FY22 Budget'!$F$1:$AC$71,'FY22 Budget'!$F$1:$AC$1&gt;=(J$1),'FY22 Budget'!$F$1:$AC$1&lt;(K$1)),'FY22 Budget'!$C$1:$C$71=$D31)),"""")"),281.25)</f>
        <v>281.25</v>
      </c>
      <c r="K31" s="60">
        <f>IFERROR(__xludf.DUMMYFUNCTION("IFERROR(SUM(FILTER(FILTER('FY22 Budget'!$F$1:$AC$71,'FY22 Budget'!$F$1:$AC$1&gt;=(K$1),'FY22 Budget'!$F$1:$AC$1&lt;(L$1)),'FY22 Budget'!$C$1:$C$71=$D31)),"""")"),281.25)</f>
        <v>281.25</v>
      </c>
      <c r="L31" s="60">
        <f>IFERROR(__xludf.DUMMYFUNCTION("IFERROR(SUM(FILTER(FILTER('FY22 Budget'!$F$1:$AC$71,'FY22 Budget'!$F$1:$AC$1&gt;=(L$1),'FY22 Budget'!$F$1:$AC$1&lt;(M$1)),'FY22 Budget'!$C$1:$C$71=$D31)),"""")"),281.25)</f>
        <v>281.25</v>
      </c>
      <c r="M31" s="60">
        <f>IFERROR(__xludf.DUMMYFUNCTION("IFERROR(SUM(FILTER(FILTER('FY22 Budget'!$F$1:$AC$71,'FY22 Budget'!$F$1:$AC$1&gt;=(M$1),'FY22 Budget'!$F$1:$AC$1&lt;(N$1)),'FY22 Budget'!$C$1:$C$71=$D31)),"""")"),281.25)</f>
        <v>281.25</v>
      </c>
      <c r="N31" s="60">
        <f>IFERROR(__xludf.DUMMYFUNCTION("IFERROR(SUM(FILTER(FILTER('FY22 Budget'!$F$1:$AC$71,'FY22 Budget'!$F$1:$AC$1&gt;=(N$1),'FY22 Budget'!$F$1:$AC$1&lt;(O$1)),'FY22 Budget'!$C$1:$C$71=$D31)),"""")"),281.25)</f>
        <v>281.25</v>
      </c>
      <c r="O31" s="60">
        <f>IFERROR(__xludf.DUMMYFUNCTION("IFERROR(SUM(FILTER(FILTER('FY22 Budget'!$F$1:$AC$71,'FY22 Budget'!$F$1:$AC$1&gt;=(O$1),'FY22 Budget'!$F$1:$AC$1&lt;(P$1)),'FY22 Budget'!$C$1:$C$71=$D31)),"""")"),281.25)</f>
        <v>281.25</v>
      </c>
      <c r="P31" s="60">
        <f>IFERROR(__xludf.DUMMYFUNCTION("IFERROR(SUM(FILTER(FILTER('FY22 Budget'!$F$1:$AC$71,'FY22 Budget'!$F$1:$AC$1&gt;=(P$1),'FY22 Budget'!$F$1:$AC$1&lt;(Q$1)),'FY22 Budget'!$C$1:$C$71=$D31)),"""")"),281.25)</f>
        <v>281.25</v>
      </c>
      <c r="Q31" s="48"/>
      <c r="R31" s="60"/>
      <c r="S31" s="60">
        <f t="shared" ref="S31:AD31" si="30">SUM($E31:E31)</f>
        <v>281.25</v>
      </c>
      <c r="T31" s="60">
        <f t="shared" si="30"/>
        <v>562.5</v>
      </c>
      <c r="U31" s="60">
        <f t="shared" si="30"/>
        <v>843.75</v>
      </c>
      <c r="V31" s="60">
        <f t="shared" si="30"/>
        <v>1125</v>
      </c>
      <c r="W31" s="60">
        <f t="shared" si="30"/>
        <v>1406.25</v>
      </c>
      <c r="X31" s="60">
        <f t="shared" si="30"/>
        <v>1687.5</v>
      </c>
      <c r="Y31" s="60">
        <f t="shared" si="30"/>
        <v>1968.75</v>
      </c>
      <c r="Z31" s="60">
        <f t="shared" si="30"/>
        <v>2250</v>
      </c>
      <c r="AA31" s="60">
        <f t="shared" si="30"/>
        <v>2531.25</v>
      </c>
      <c r="AB31" s="60">
        <f t="shared" si="30"/>
        <v>2812.5</v>
      </c>
      <c r="AC31" s="60">
        <f t="shared" si="30"/>
        <v>3093.75</v>
      </c>
      <c r="AD31" s="60">
        <f t="shared" si="30"/>
        <v>3375</v>
      </c>
      <c r="AE31" s="48"/>
    </row>
    <row r="32" hidden="1">
      <c r="A32" s="41" t="s">
        <v>14</v>
      </c>
      <c r="B32" s="41" t="s">
        <v>35</v>
      </c>
      <c r="C32" s="41" t="s">
        <v>28</v>
      </c>
      <c r="D32" s="59" t="s">
        <v>77</v>
      </c>
      <c r="E32" s="60">
        <f>IFERROR(__xludf.DUMMYFUNCTION("IFERROR(SUM(FILTER(FILTER('FY22 Budget'!$F$1:$AC$71,'FY22 Budget'!$F$1:$AC$1&gt;=(E$1),'FY22 Budget'!$F$1:$AC$1&lt;(F$1)),'FY22 Budget'!$C$1:$C$71=$D32)),"""")"),22729.53)</f>
        <v>22729.53</v>
      </c>
      <c r="F32" s="60">
        <f>IFERROR(__xludf.DUMMYFUNCTION("IFERROR(SUM(FILTER(FILTER('FY22 Budget'!$F$1:$AC$71,'FY22 Budget'!$F$1:$AC$1&gt;=(F$1),'FY22 Budget'!$F$1:$AC$1&lt;(G$1)),'FY22 Budget'!$C$1:$C$71=$D32)),"""")"),22729.53)</f>
        <v>22729.53</v>
      </c>
      <c r="G32" s="60">
        <f>IFERROR(__xludf.DUMMYFUNCTION("IFERROR(SUM(FILTER(FILTER('FY22 Budget'!$F$1:$AC$71,'FY22 Budget'!$F$1:$AC$1&gt;=(G$1),'FY22 Budget'!$F$1:$AC$1&lt;(H$1)),'FY22 Budget'!$C$1:$C$71=$D32)),"""")"),22729.53)</f>
        <v>22729.53</v>
      </c>
      <c r="H32" s="60">
        <f>IFERROR(__xludf.DUMMYFUNCTION("IFERROR(SUM(FILTER(FILTER('FY22 Budget'!$F$1:$AC$71,'FY22 Budget'!$F$1:$AC$1&gt;=(H$1),'FY22 Budget'!$F$1:$AC$1&lt;(I$1)),'FY22 Budget'!$C$1:$C$71=$D32)),"""")"),22729.53)</f>
        <v>22729.53</v>
      </c>
      <c r="I32" s="60">
        <f>IFERROR(__xludf.DUMMYFUNCTION("IFERROR(SUM(FILTER(FILTER('FY22 Budget'!$F$1:$AC$71,'FY22 Budget'!$F$1:$AC$1&gt;=(I$1),'FY22 Budget'!$F$1:$AC$1&lt;(J$1)),'FY22 Budget'!$C$1:$C$71=$D32)),"""")"),22729.53)</f>
        <v>22729.53</v>
      </c>
      <c r="J32" s="60">
        <f>IFERROR(__xludf.DUMMYFUNCTION("IFERROR(SUM(FILTER(FILTER('FY22 Budget'!$F$1:$AC$71,'FY22 Budget'!$F$1:$AC$1&gt;=(J$1),'FY22 Budget'!$F$1:$AC$1&lt;(K$1)),'FY22 Budget'!$C$1:$C$71=$D32)),"""")"),22729.53)</f>
        <v>22729.53</v>
      </c>
      <c r="K32" s="60">
        <f>IFERROR(__xludf.DUMMYFUNCTION("IFERROR(SUM(FILTER(FILTER('FY22 Budget'!$F$1:$AC$71,'FY22 Budget'!$F$1:$AC$1&gt;=(K$1),'FY22 Budget'!$F$1:$AC$1&lt;(L$1)),'FY22 Budget'!$C$1:$C$71=$D32)),"""")"),22729.53)</f>
        <v>22729.53</v>
      </c>
      <c r="L32" s="60">
        <f>IFERROR(__xludf.DUMMYFUNCTION("IFERROR(SUM(FILTER(FILTER('FY22 Budget'!$F$1:$AC$71,'FY22 Budget'!$F$1:$AC$1&gt;=(L$1),'FY22 Budget'!$F$1:$AC$1&lt;(M$1)),'FY22 Budget'!$C$1:$C$71=$D32)),"""")"),22729.53)</f>
        <v>22729.53</v>
      </c>
      <c r="M32" s="60">
        <f>IFERROR(__xludf.DUMMYFUNCTION("IFERROR(SUM(FILTER(FILTER('FY22 Budget'!$F$1:$AC$71,'FY22 Budget'!$F$1:$AC$1&gt;=(M$1),'FY22 Budget'!$F$1:$AC$1&lt;(N$1)),'FY22 Budget'!$C$1:$C$71=$D32)),"""")"),22729.53)</f>
        <v>22729.53</v>
      </c>
      <c r="N32" s="60">
        <f>IFERROR(__xludf.DUMMYFUNCTION("IFERROR(SUM(FILTER(FILTER('FY22 Budget'!$F$1:$AC$71,'FY22 Budget'!$F$1:$AC$1&gt;=(N$1),'FY22 Budget'!$F$1:$AC$1&lt;(O$1)),'FY22 Budget'!$C$1:$C$71=$D32)),"""")"),22729.53)</f>
        <v>22729.53</v>
      </c>
      <c r="O32" s="60">
        <f>IFERROR(__xludf.DUMMYFUNCTION("IFERROR(SUM(FILTER(FILTER('FY22 Budget'!$F$1:$AC$71,'FY22 Budget'!$F$1:$AC$1&gt;=(O$1),'FY22 Budget'!$F$1:$AC$1&lt;(P$1)),'FY22 Budget'!$C$1:$C$71=$D32)),"""")"),22729.53)</f>
        <v>22729.53</v>
      </c>
      <c r="P32" s="60">
        <f>IFERROR(__xludf.DUMMYFUNCTION("IFERROR(SUM(FILTER(FILTER('FY22 Budget'!$F$1:$AC$71,'FY22 Budget'!$F$1:$AC$1&gt;=(P$1),'FY22 Budget'!$F$1:$AC$1&lt;(Q$1)),'FY22 Budget'!$C$1:$C$71=$D32)),"""")"),22729.53)</f>
        <v>22729.53</v>
      </c>
      <c r="Q32" s="48"/>
      <c r="R32" s="60"/>
      <c r="S32" s="60">
        <f t="shared" ref="S32:AD32" si="31">SUM($E32:E32)</f>
        <v>22729.53</v>
      </c>
      <c r="T32" s="60">
        <f t="shared" si="31"/>
        <v>45459.06</v>
      </c>
      <c r="U32" s="60">
        <f t="shared" si="31"/>
        <v>68188.59</v>
      </c>
      <c r="V32" s="60">
        <f t="shared" si="31"/>
        <v>90918.12</v>
      </c>
      <c r="W32" s="60">
        <f t="shared" si="31"/>
        <v>113647.65</v>
      </c>
      <c r="X32" s="60">
        <f t="shared" si="31"/>
        <v>136377.18</v>
      </c>
      <c r="Y32" s="60">
        <f t="shared" si="31"/>
        <v>159106.71</v>
      </c>
      <c r="Z32" s="60">
        <f t="shared" si="31"/>
        <v>181836.24</v>
      </c>
      <c r="AA32" s="60">
        <f t="shared" si="31"/>
        <v>204565.77</v>
      </c>
      <c r="AB32" s="60">
        <f t="shared" si="31"/>
        <v>227295.3</v>
      </c>
      <c r="AC32" s="60">
        <f t="shared" si="31"/>
        <v>250024.83</v>
      </c>
      <c r="AD32" s="60">
        <f t="shared" si="31"/>
        <v>272754.36</v>
      </c>
      <c r="AE32" s="48"/>
    </row>
    <row r="33" hidden="1">
      <c r="A33" s="41" t="s">
        <v>14</v>
      </c>
      <c r="B33" s="41" t="s">
        <v>35</v>
      </c>
      <c r="C33" s="41" t="s">
        <v>23</v>
      </c>
      <c r="D33" s="59" t="s">
        <v>78</v>
      </c>
      <c r="E33" s="60">
        <f>IFERROR(__xludf.DUMMYFUNCTION("IFERROR(SUM(FILTER(FILTER('FY22 Budget'!$F$1:$AC$71,'FY22 Budget'!$F$1:$AC$1&gt;=(E$1),'FY22 Budget'!$F$1:$AC$1&lt;(F$1)),'FY22 Budget'!$C$1:$C$71=$D33)),"""")"),600.0)</f>
        <v>600</v>
      </c>
      <c r="F33" s="60">
        <f>IFERROR(__xludf.DUMMYFUNCTION("IFERROR(SUM(FILTER(FILTER('FY22 Budget'!$F$1:$AC$71,'FY22 Budget'!$F$1:$AC$1&gt;=(F$1),'FY22 Budget'!$F$1:$AC$1&lt;(G$1)),'FY22 Budget'!$C$1:$C$71=$D33)),"""")"),600.0)</f>
        <v>600</v>
      </c>
      <c r="G33" s="60">
        <f>IFERROR(__xludf.DUMMYFUNCTION("IFERROR(SUM(FILTER(FILTER('FY22 Budget'!$F$1:$AC$71,'FY22 Budget'!$F$1:$AC$1&gt;=(G$1),'FY22 Budget'!$F$1:$AC$1&lt;(H$1)),'FY22 Budget'!$C$1:$C$71=$D33)),"""")"),600.0)</f>
        <v>600</v>
      </c>
      <c r="H33" s="60">
        <f>IFERROR(__xludf.DUMMYFUNCTION("IFERROR(SUM(FILTER(FILTER('FY22 Budget'!$F$1:$AC$71,'FY22 Budget'!$F$1:$AC$1&gt;=(H$1),'FY22 Budget'!$F$1:$AC$1&lt;(I$1)),'FY22 Budget'!$C$1:$C$71=$D33)),"""")"),600.0)</f>
        <v>600</v>
      </c>
      <c r="I33" s="60">
        <f>IFERROR(__xludf.DUMMYFUNCTION("IFERROR(SUM(FILTER(FILTER('FY22 Budget'!$F$1:$AC$71,'FY22 Budget'!$F$1:$AC$1&gt;=(I$1),'FY22 Budget'!$F$1:$AC$1&lt;(J$1)),'FY22 Budget'!$C$1:$C$71=$D33)),"""")"),600.0)</f>
        <v>600</v>
      </c>
      <c r="J33" s="60">
        <f>IFERROR(__xludf.DUMMYFUNCTION("IFERROR(SUM(FILTER(FILTER('FY22 Budget'!$F$1:$AC$71,'FY22 Budget'!$F$1:$AC$1&gt;=(J$1),'FY22 Budget'!$F$1:$AC$1&lt;(K$1)),'FY22 Budget'!$C$1:$C$71=$D33)),"""")"),600.0)</f>
        <v>600</v>
      </c>
      <c r="K33" s="60">
        <f>IFERROR(__xludf.DUMMYFUNCTION("IFERROR(SUM(FILTER(FILTER('FY22 Budget'!$F$1:$AC$71,'FY22 Budget'!$F$1:$AC$1&gt;=(K$1),'FY22 Budget'!$F$1:$AC$1&lt;(L$1)),'FY22 Budget'!$C$1:$C$71=$D33)),"""")"),600.0)</f>
        <v>600</v>
      </c>
      <c r="L33" s="60">
        <f>IFERROR(__xludf.DUMMYFUNCTION("IFERROR(SUM(FILTER(FILTER('FY22 Budget'!$F$1:$AC$71,'FY22 Budget'!$F$1:$AC$1&gt;=(L$1),'FY22 Budget'!$F$1:$AC$1&lt;(M$1)),'FY22 Budget'!$C$1:$C$71=$D33)),"""")"),600.0)</f>
        <v>600</v>
      </c>
      <c r="M33" s="60">
        <f>IFERROR(__xludf.DUMMYFUNCTION("IFERROR(SUM(FILTER(FILTER('FY22 Budget'!$F$1:$AC$71,'FY22 Budget'!$F$1:$AC$1&gt;=(M$1),'FY22 Budget'!$F$1:$AC$1&lt;(N$1)),'FY22 Budget'!$C$1:$C$71=$D33)),"""")"),600.0)</f>
        <v>600</v>
      </c>
      <c r="N33" s="60">
        <f>IFERROR(__xludf.DUMMYFUNCTION("IFERROR(SUM(FILTER(FILTER('FY22 Budget'!$F$1:$AC$71,'FY22 Budget'!$F$1:$AC$1&gt;=(N$1),'FY22 Budget'!$F$1:$AC$1&lt;(O$1)),'FY22 Budget'!$C$1:$C$71=$D33)),"""")"),600.0)</f>
        <v>600</v>
      </c>
      <c r="O33" s="60">
        <f>IFERROR(__xludf.DUMMYFUNCTION("IFERROR(SUM(FILTER(FILTER('FY22 Budget'!$F$1:$AC$71,'FY22 Budget'!$F$1:$AC$1&gt;=(O$1),'FY22 Budget'!$F$1:$AC$1&lt;(P$1)),'FY22 Budget'!$C$1:$C$71=$D33)),"""")"),600.0)</f>
        <v>600</v>
      </c>
      <c r="P33" s="60">
        <f>IFERROR(__xludf.DUMMYFUNCTION("IFERROR(SUM(FILTER(FILTER('FY22 Budget'!$F$1:$AC$71,'FY22 Budget'!$F$1:$AC$1&gt;=(P$1),'FY22 Budget'!$F$1:$AC$1&lt;(Q$1)),'FY22 Budget'!$C$1:$C$71=$D33)),"""")"),600.0)</f>
        <v>600</v>
      </c>
      <c r="Q33" s="48"/>
      <c r="R33" s="60"/>
      <c r="S33" s="60">
        <f t="shared" ref="S33:AD33" si="32">SUM($E33:E33)</f>
        <v>600</v>
      </c>
      <c r="T33" s="60">
        <f t="shared" si="32"/>
        <v>1200</v>
      </c>
      <c r="U33" s="60">
        <f t="shared" si="32"/>
        <v>1800</v>
      </c>
      <c r="V33" s="60">
        <f t="shared" si="32"/>
        <v>2400</v>
      </c>
      <c r="W33" s="60">
        <f t="shared" si="32"/>
        <v>3000</v>
      </c>
      <c r="X33" s="60">
        <f t="shared" si="32"/>
        <v>3600</v>
      </c>
      <c r="Y33" s="60">
        <f t="shared" si="32"/>
        <v>4200</v>
      </c>
      <c r="Z33" s="60">
        <f t="shared" si="32"/>
        <v>4800</v>
      </c>
      <c r="AA33" s="60">
        <f t="shared" si="32"/>
        <v>5400</v>
      </c>
      <c r="AB33" s="60">
        <f t="shared" si="32"/>
        <v>6000</v>
      </c>
      <c r="AC33" s="60">
        <f t="shared" si="32"/>
        <v>6600</v>
      </c>
      <c r="AD33" s="60">
        <f t="shared" si="32"/>
        <v>7200</v>
      </c>
      <c r="AE33" s="48"/>
    </row>
    <row r="34" hidden="1">
      <c r="A34" s="41" t="s">
        <v>14</v>
      </c>
      <c r="B34" s="41" t="s">
        <v>35</v>
      </c>
      <c r="C34" s="41" t="s">
        <v>24</v>
      </c>
      <c r="D34" s="59" t="s">
        <v>79</v>
      </c>
      <c r="E34" s="60">
        <f>IFERROR(__xludf.DUMMYFUNCTION("IFERROR(SUM(FILTER(FILTER('FY22 Budget'!$F$1:$AC$71,'FY22 Budget'!$F$1:$AC$1&gt;=(E$1),'FY22 Budget'!$F$1:$AC$1&lt;(F$1)),'FY22 Budget'!$C$1:$C$71=$D34)),"""")"),37.2)</f>
        <v>37.2</v>
      </c>
      <c r="F34" s="60">
        <f>IFERROR(__xludf.DUMMYFUNCTION("IFERROR(SUM(FILTER(FILTER('FY22 Budget'!$F$1:$AC$71,'FY22 Budget'!$F$1:$AC$1&gt;=(F$1),'FY22 Budget'!$F$1:$AC$1&lt;(G$1)),'FY22 Budget'!$C$1:$C$71=$D34)),"""")"),37.2)</f>
        <v>37.2</v>
      </c>
      <c r="G34" s="60">
        <f>IFERROR(__xludf.DUMMYFUNCTION("IFERROR(SUM(FILTER(FILTER('FY22 Budget'!$F$1:$AC$71,'FY22 Budget'!$F$1:$AC$1&gt;=(G$1),'FY22 Budget'!$F$1:$AC$1&lt;(H$1)),'FY22 Budget'!$C$1:$C$71=$D34)),"""")"),37.2)</f>
        <v>37.2</v>
      </c>
      <c r="H34" s="60">
        <f>IFERROR(__xludf.DUMMYFUNCTION("IFERROR(SUM(FILTER(FILTER('FY22 Budget'!$F$1:$AC$71,'FY22 Budget'!$F$1:$AC$1&gt;=(H$1),'FY22 Budget'!$F$1:$AC$1&lt;(I$1)),'FY22 Budget'!$C$1:$C$71=$D34)),"""")"),37.2)</f>
        <v>37.2</v>
      </c>
      <c r="I34" s="60">
        <f>IFERROR(__xludf.DUMMYFUNCTION("IFERROR(SUM(FILTER(FILTER('FY22 Budget'!$F$1:$AC$71,'FY22 Budget'!$F$1:$AC$1&gt;=(I$1),'FY22 Budget'!$F$1:$AC$1&lt;(J$1)),'FY22 Budget'!$C$1:$C$71=$D34)),"""")"),37.2)</f>
        <v>37.2</v>
      </c>
      <c r="J34" s="60">
        <f>IFERROR(__xludf.DUMMYFUNCTION("IFERROR(SUM(FILTER(FILTER('FY22 Budget'!$F$1:$AC$71,'FY22 Budget'!$F$1:$AC$1&gt;=(J$1),'FY22 Budget'!$F$1:$AC$1&lt;(K$1)),'FY22 Budget'!$C$1:$C$71=$D34)),"""")"),37.2)</f>
        <v>37.2</v>
      </c>
      <c r="K34" s="60">
        <f>IFERROR(__xludf.DUMMYFUNCTION("IFERROR(SUM(FILTER(FILTER('FY22 Budget'!$F$1:$AC$71,'FY22 Budget'!$F$1:$AC$1&gt;=(K$1),'FY22 Budget'!$F$1:$AC$1&lt;(L$1)),'FY22 Budget'!$C$1:$C$71=$D34)),"""")"),37.2)</f>
        <v>37.2</v>
      </c>
      <c r="L34" s="60">
        <f>IFERROR(__xludf.DUMMYFUNCTION("IFERROR(SUM(FILTER(FILTER('FY22 Budget'!$F$1:$AC$71,'FY22 Budget'!$F$1:$AC$1&gt;=(L$1),'FY22 Budget'!$F$1:$AC$1&lt;(M$1)),'FY22 Budget'!$C$1:$C$71=$D34)),"""")"),37.2)</f>
        <v>37.2</v>
      </c>
      <c r="M34" s="60">
        <f>IFERROR(__xludf.DUMMYFUNCTION("IFERROR(SUM(FILTER(FILTER('FY22 Budget'!$F$1:$AC$71,'FY22 Budget'!$F$1:$AC$1&gt;=(M$1),'FY22 Budget'!$F$1:$AC$1&lt;(N$1)),'FY22 Budget'!$C$1:$C$71=$D34)),"""")"),37.2)</f>
        <v>37.2</v>
      </c>
      <c r="N34" s="60">
        <f>IFERROR(__xludf.DUMMYFUNCTION("IFERROR(SUM(FILTER(FILTER('FY22 Budget'!$F$1:$AC$71,'FY22 Budget'!$F$1:$AC$1&gt;=(N$1),'FY22 Budget'!$F$1:$AC$1&lt;(O$1)),'FY22 Budget'!$C$1:$C$71=$D34)),"""")"),37.2)</f>
        <v>37.2</v>
      </c>
      <c r="O34" s="60">
        <f>IFERROR(__xludf.DUMMYFUNCTION("IFERROR(SUM(FILTER(FILTER('FY22 Budget'!$F$1:$AC$71,'FY22 Budget'!$F$1:$AC$1&gt;=(O$1),'FY22 Budget'!$F$1:$AC$1&lt;(P$1)),'FY22 Budget'!$C$1:$C$71=$D34)),"""")"),37.2)</f>
        <v>37.2</v>
      </c>
      <c r="P34" s="60">
        <f>IFERROR(__xludf.DUMMYFUNCTION("IFERROR(SUM(FILTER(FILTER('FY22 Budget'!$F$1:$AC$71,'FY22 Budget'!$F$1:$AC$1&gt;=(P$1),'FY22 Budget'!$F$1:$AC$1&lt;(Q$1)),'FY22 Budget'!$C$1:$C$71=$D34)),"""")"),37.2)</f>
        <v>37.2</v>
      </c>
      <c r="Q34" s="48"/>
      <c r="R34" s="60"/>
      <c r="S34" s="60">
        <f t="shared" ref="S34:AD34" si="33">SUM($E34:E34)</f>
        <v>37.2</v>
      </c>
      <c r="T34" s="60">
        <f t="shared" si="33"/>
        <v>74.4</v>
      </c>
      <c r="U34" s="60">
        <f t="shared" si="33"/>
        <v>111.6</v>
      </c>
      <c r="V34" s="60">
        <f t="shared" si="33"/>
        <v>148.8</v>
      </c>
      <c r="W34" s="60">
        <f t="shared" si="33"/>
        <v>186</v>
      </c>
      <c r="X34" s="60">
        <f t="shared" si="33"/>
        <v>223.2</v>
      </c>
      <c r="Y34" s="60">
        <f t="shared" si="33"/>
        <v>260.4</v>
      </c>
      <c r="Z34" s="60">
        <f t="shared" si="33"/>
        <v>297.6</v>
      </c>
      <c r="AA34" s="60">
        <f t="shared" si="33"/>
        <v>334.8</v>
      </c>
      <c r="AB34" s="60">
        <f t="shared" si="33"/>
        <v>372</v>
      </c>
      <c r="AC34" s="60">
        <f t="shared" si="33"/>
        <v>409.2</v>
      </c>
      <c r="AD34" s="60">
        <f t="shared" si="33"/>
        <v>446.4</v>
      </c>
      <c r="AE34" s="48"/>
    </row>
    <row r="35" hidden="1">
      <c r="A35" s="41" t="s">
        <v>14</v>
      </c>
      <c r="B35" s="41" t="s">
        <v>35</v>
      </c>
      <c r="C35" s="41" t="s">
        <v>24</v>
      </c>
      <c r="D35" s="59" t="s">
        <v>80</v>
      </c>
      <c r="E35" s="60">
        <f>IFERROR(__xludf.DUMMYFUNCTION("IFERROR(SUM(FILTER(FILTER('FY22 Budget'!$F$1:$AC$71,'FY22 Budget'!$F$1:$AC$1&gt;=(E$1),'FY22 Budget'!$F$1:$AC$1&lt;(F$1)),'FY22 Budget'!$C$1:$C$71=$D35)),"""")"),8.7)</f>
        <v>8.7</v>
      </c>
      <c r="F35" s="60">
        <f>IFERROR(__xludf.DUMMYFUNCTION("IFERROR(SUM(FILTER(FILTER('FY22 Budget'!$F$1:$AC$71,'FY22 Budget'!$F$1:$AC$1&gt;=(F$1),'FY22 Budget'!$F$1:$AC$1&lt;(G$1)),'FY22 Budget'!$C$1:$C$71=$D35)),"""")"),8.7)</f>
        <v>8.7</v>
      </c>
      <c r="G35" s="60">
        <f>IFERROR(__xludf.DUMMYFUNCTION("IFERROR(SUM(FILTER(FILTER('FY22 Budget'!$F$1:$AC$71,'FY22 Budget'!$F$1:$AC$1&gt;=(G$1),'FY22 Budget'!$F$1:$AC$1&lt;(H$1)),'FY22 Budget'!$C$1:$C$71=$D35)),"""")"),8.7)</f>
        <v>8.7</v>
      </c>
      <c r="H35" s="60">
        <f>IFERROR(__xludf.DUMMYFUNCTION("IFERROR(SUM(FILTER(FILTER('FY22 Budget'!$F$1:$AC$71,'FY22 Budget'!$F$1:$AC$1&gt;=(H$1),'FY22 Budget'!$F$1:$AC$1&lt;(I$1)),'FY22 Budget'!$C$1:$C$71=$D35)),"""")"),8.7)</f>
        <v>8.7</v>
      </c>
      <c r="I35" s="60">
        <f>IFERROR(__xludf.DUMMYFUNCTION("IFERROR(SUM(FILTER(FILTER('FY22 Budget'!$F$1:$AC$71,'FY22 Budget'!$F$1:$AC$1&gt;=(I$1),'FY22 Budget'!$F$1:$AC$1&lt;(J$1)),'FY22 Budget'!$C$1:$C$71=$D35)),"""")"),8.7)</f>
        <v>8.7</v>
      </c>
      <c r="J35" s="60">
        <f>IFERROR(__xludf.DUMMYFUNCTION("IFERROR(SUM(FILTER(FILTER('FY22 Budget'!$F$1:$AC$71,'FY22 Budget'!$F$1:$AC$1&gt;=(J$1),'FY22 Budget'!$F$1:$AC$1&lt;(K$1)),'FY22 Budget'!$C$1:$C$71=$D35)),"""")"),8.7)</f>
        <v>8.7</v>
      </c>
      <c r="K35" s="60">
        <f>IFERROR(__xludf.DUMMYFUNCTION("IFERROR(SUM(FILTER(FILTER('FY22 Budget'!$F$1:$AC$71,'FY22 Budget'!$F$1:$AC$1&gt;=(K$1),'FY22 Budget'!$F$1:$AC$1&lt;(L$1)),'FY22 Budget'!$C$1:$C$71=$D35)),"""")"),8.7)</f>
        <v>8.7</v>
      </c>
      <c r="L35" s="60">
        <f>IFERROR(__xludf.DUMMYFUNCTION("IFERROR(SUM(FILTER(FILTER('FY22 Budget'!$F$1:$AC$71,'FY22 Budget'!$F$1:$AC$1&gt;=(L$1),'FY22 Budget'!$F$1:$AC$1&lt;(M$1)),'FY22 Budget'!$C$1:$C$71=$D35)),"""")"),8.7)</f>
        <v>8.7</v>
      </c>
      <c r="M35" s="60">
        <f>IFERROR(__xludf.DUMMYFUNCTION("IFERROR(SUM(FILTER(FILTER('FY22 Budget'!$F$1:$AC$71,'FY22 Budget'!$F$1:$AC$1&gt;=(M$1),'FY22 Budget'!$F$1:$AC$1&lt;(N$1)),'FY22 Budget'!$C$1:$C$71=$D35)),"""")"),8.7)</f>
        <v>8.7</v>
      </c>
      <c r="N35" s="60">
        <f>IFERROR(__xludf.DUMMYFUNCTION("IFERROR(SUM(FILTER(FILTER('FY22 Budget'!$F$1:$AC$71,'FY22 Budget'!$F$1:$AC$1&gt;=(N$1),'FY22 Budget'!$F$1:$AC$1&lt;(O$1)),'FY22 Budget'!$C$1:$C$71=$D35)),"""")"),8.7)</f>
        <v>8.7</v>
      </c>
      <c r="O35" s="60">
        <f>IFERROR(__xludf.DUMMYFUNCTION("IFERROR(SUM(FILTER(FILTER('FY22 Budget'!$F$1:$AC$71,'FY22 Budget'!$F$1:$AC$1&gt;=(O$1),'FY22 Budget'!$F$1:$AC$1&lt;(P$1)),'FY22 Budget'!$C$1:$C$71=$D35)),"""")"),8.7)</f>
        <v>8.7</v>
      </c>
      <c r="P35" s="60">
        <f>IFERROR(__xludf.DUMMYFUNCTION("IFERROR(SUM(FILTER(FILTER('FY22 Budget'!$F$1:$AC$71,'FY22 Budget'!$F$1:$AC$1&gt;=(P$1),'FY22 Budget'!$F$1:$AC$1&lt;(Q$1)),'FY22 Budget'!$C$1:$C$71=$D35)),"""")"),8.7)</f>
        <v>8.7</v>
      </c>
      <c r="Q35" s="48"/>
      <c r="R35" s="60"/>
      <c r="S35" s="60">
        <f t="shared" ref="S35:AD35" si="34">SUM($E35:E35)</f>
        <v>8.7</v>
      </c>
      <c r="T35" s="60">
        <f t="shared" si="34"/>
        <v>17.4</v>
      </c>
      <c r="U35" s="60">
        <f t="shared" si="34"/>
        <v>26.1</v>
      </c>
      <c r="V35" s="60">
        <f t="shared" si="34"/>
        <v>34.8</v>
      </c>
      <c r="W35" s="60">
        <f t="shared" si="34"/>
        <v>43.5</v>
      </c>
      <c r="X35" s="60">
        <f t="shared" si="34"/>
        <v>52.2</v>
      </c>
      <c r="Y35" s="60">
        <f t="shared" si="34"/>
        <v>60.9</v>
      </c>
      <c r="Z35" s="60">
        <f t="shared" si="34"/>
        <v>69.6</v>
      </c>
      <c r="AA35" s="60">
        <f t="shared" si="34"/>
        <v>78.3</v>
      </c>
      <c r="AB35" s="60">
        <f t="shared" si="34"/>
        <v>87</v>
      </c>
      <c r="AC35" s="60">
        <f t="shared" si="34"/>
        <v>95.7</v>
      </c>
      <c r="AD35" s="60">
        <f t="shared" si="34"/>
        <v>104.4</v>
      </c>
      <c r="AE35" s="48"/>
    </row>
    <row r="36" hidden="1">
      <c r="A36" s="41" t="s">
        <v>14</v>
      </c>
      <c r="B36" s="41" t="s">
        <v>35</v>
      </c>
      <c r="C36" s="41" t="s">
        <v>28</v>
      </c>
      <c r="D36" s="59" t="s">
        <v>81</v>
      </c>
      <c r="E36" s="60">
        <f>IFERROR(__xludf.DUMMYFUNCTION("IFERROR(SUM(FILTER(FILTER('FY22 Budget'!$F$1:$AC$71,'FY22 Budget'!$F$1:$AC$1&gt;=(E$1),'FY22 Budget'!$F$1:$AC$1&lt;(F$1)),'FY22 Budget'!$C$1:$C$71=$D36)),"""")"),4140.99)</f>
        <v>4140.99</v>
      </c>
      <c r="F36" s="60">
        <f>IFERROR(__xludf.DUMMYFUNCTION("IFERROR(SUM(FILTER(FILTER('FY22 Budget'!$F$1:$AC$71,'FY22 Budget'!$F$1:$AC$1&gt;=(F$1),'FY22 Budget'!$F$1:$AC$1&lt;(G$1)),'FY22 Budget'!$C$1:$C$71=$D36)),"""")"),40390.99)</f>
        <v>40390.99</v>
      </c>
      <c r="G36" s="60">
        <f>IFERROR(__xludf.DUMMYFUNCTION("IFERROR(SUM(FILTER(FILTER('FY22 Budget'!$F$1:$AC$71,'FY22 Budget'!$F$1:$AC$1&gt;=(G$1),'FY22 Budget'!$F$1:$AC$1&lt;(H$1)),'FY22 Budget'!$C$1:$C$71=$D36)),"""")"),4340.99)</f>
        <v>4340.99</v>
      </c>
      <c r="H36" s="60">
        <f>IFERROR(__xludf.DUMMYFUNCTION("IFERROR(SUM(FILTER(FILTER('FY22 Budget'!$F$1:$AC$71,'FY22 Budget'!$F$1:$AC$1&gt;=(H$1),'FY22 Budget'!$F$1:$AC$1&lt;(I$1)),'FY22 Budget'!$C$1:$C$71=$D36)),"""")"),4340.99)</f>
        <v>4340.99</v>
      </c>
      <c r="I36" s="60">
        <f>IFERROR(__xludf.DUMMYFUNCTION("IFERROR(SUM(FILTER(FILTER('FY22 Budget'!$F$1:$AC$71,'FY22 Budget'!$F$1:$AC$1&gt;=(I$1),'FY22 Budget'!$F$1:$AC$1&lt;(J$1)),'FY22 Budget'!$C$1:$C$71=$D36)),"""")"),4340.99)</f>
        <v>4340.99</v>
      </c>
      <c r="J36" s="60">
        <f>IFERROR(__xludf.DUMMYFUNCTION("IFERROR(SUM(FILTER(FILTER('FY22 Budget'!$F$1:$AC$71,'FY22 Budget'!$F$1:$AC$1&gt;=(J$1),'FY22 Budget'!$F$1:$AC$1&lt;(K$1)),'FY22 Budget'!$C$1:$C$71=$D36)),"""")"),4340.99)</f>
        <v>4340.99</v>
      </c>
      <c r="K36" s="60">
        <f>IFERROR(__xludf.DUMMYFUNCTION("IFERROR(SUM(FILTER(FILTER('FY22 Budget'!$F$1:$AC$71,'FY22 Budget'!$F$1:$AC$1&gt;=(K$1),'FY22 Budget'!$F$1:$AC$1&lt;(L$1)),'FY22 Budget'!$C$1:$C$71=$D36)),"""")"),40390.99)</f>
        <v>40390.99</v>
      </c>
      <c r="L36" s="60">
        <f>IFERROR(__xludf.DUMMYFUNCTION("IFERROR(SUM(FILTER(FILTER('FY22 Budget'!$F$1:$AC$71,'FY22 Budget'!$F$1:$AC$1&gt;=(L$1),'FY22 Budget'!$F$1:$AC$1&lt;(M$1)),'FY22 Budget'!$C$1:$C$71=$D36)),"""")"),4340.99)</f>
        <v>4340.99</v>
      </c>
      <c r="M36" s="60">
        <f>IFERROR(__xludf.DUMMYFUNCTION("IFERROR(SUM(FILTER(FILTER('FY22 Budget'!$F$1:$AC$71,'FY22 Budget'!$F$1:$AC$1&gt;=(M$1),'FY22 Budget'!$F$1:$AC$1&lt;(N$1)),'FY22 Budget'!$C$1:$C$71=$D36)),"""")"),4340.99)</f>
        <v>4340.99</v>
      </c>
      <c r="N36" s="60">
        <f>IFERROR(__xludf.DUMMYFUNCTION("IFERROR(SUM(FILTER(FILTER('FY22 Budget'!$F$1:$AC$71,'FY22 Budget'!$F$1:$AC$1&gt;=(N$1),'FY22 Budget'!$F$1:$AC$1&lt;(O$1)),'FY22 Budget'!$C$1:$C$71=$D36)),"""")"),4340.99)</f>
        <v>4340.99</v>
      </c>
      <c r="O36" s="60">
        <f>IFERROR(__xludf.DUMMYFUNCTION("IFERROR(SUM(FILTER(FILTER('FY22 Budget'!$F$1:$AC$71,'FY22 Budget'!$F$1:$AC$1&gt;=(O$1),'FY22 Budget'!$F$1:$AC$1&lt;(P$1)),'FY22 Budget'!$C$1:$C$71=$D36)),"""")"),4340.99)</f>
        <v>4340.99</v>
      </c>
      <c r="P36" s="60">
        <f>IFERROR(__xludf.DUMMYFUNCTION("IFERROR(SUM(FILTER(FILTER('FY22 Budget'!$F$1:$AC$71,'FY22 Budget'!$F$1:$AC$1&gt;=(P$1),'FY22 Budget'!$F$1:$AC$1&lt;(Q$1)),'FY22 Budget'!$C$1:$C$71=$D36)),"""")"),4140.99)</f>
        <v>4140.99</v>
      </c>
      <c r="Q36" s="48"/>
      <c r="R36" s="60"/>
      <c r="S36" s="60">
        <f t="shared" ref="S36:AD36" si="35">SUM($E36:E36)</f>
        <v>4140.99</v>
      </c>
      <c r="T36" s="60">
        <f t="shared" si="35"/>
        <v>44531.98</v>
      </c>
      <c r="U36" s="60">
        <f t="shared" si="35"/>
        <v>48872.97</v>
      </c>
      <c r="V36" s="60">
        <f t="shared" si="35"/>
        <v>53213.96</v>
      </c>
      <c r="W36" s="60">
        <f t="shared" si="35"/>
        <v>57554.95</v>
      </c>
      <c r="X36" s="60">
        <f t="shared" si="35"/>
        <v>61895.94</v>
      </c>
      <c r="Y36" s="60">
        <f t="shared" si="35"/>
        <v>102286.93</v>
      </c>
      <c r="Z36" s="60">
        <f t="shared" si="35"/>
        <v>106627.92</v>
      </c>
      <c r="AA36" s="60">
        <f t="shared" si="35"/>
        <v>110968.91</v>
      </c>
      <c r="AB36" s="60">
        <f t="shared" si="35"/>
        <v>115309.9</v>
      </c>
      <c r="AC36" s="60">
        <f t="shared" si="35"/>
        <v>119650.89</v>
      </c>
      <c r="AD36" s="60">
        <f t="shared" si="35"/>
        <v>123791.88</v>
      </c>
      <c r="AE36" s="48"/>
    </row>
    <row r="37" hidden="1">
      <c r="A37" s="41" t="s">
        <v>14</v>
      </c>
      <c r="B37" s="41" t="s">
        <v>35</v>
      </c>
      <c r="C37" s="41" t="s">
        <v>28</v>
      </c>
      <c r="D37" s="59" t="s">
        <v>82</v>
      </c>
      <c r="E37" s="60">
        <f>IFERROR(__xludf.DUMMYFUNCTION("IFERROR(SUM(FILTER(FILTER('FY22 Budget'!$F$1:$AC$71,'FY22 Budget'!$F$1:$AC$1&gt;=(E$1),'FY22 Budget'!$F$1:$AC$1&lt;(F$1)),'FY22 Budget'!$C$1:$C$71=$D37)),"""")"),0.0)</f>
        <v>0</v>
      </c>
      <c r="F37" s="60">
        <f>IFERROR(__xludf.DUMMYFUNCTION("IFERROR(SUM(FILTER(FILTER('FY22 Budget'!$F$1:$AC$71,'FY22 Budget'!$F$1:$AC$1&gt;=(F$1),'FY22 Budget'!$F$1:$AC$1&lt;(G$1)),'FY22 Budget'!$C$1:$C$71=$D37)),"""")"),4933.25)</f>
        <v>4933.25</v>
      </c>
      <c r="G37" s="60">
        <f>IFERROR(__xludf.DUMMYFUNCTION("IFERROR(SUM(FILTER(FILTER('FY22 Budget'!$F$1:$AC$71,'FY22 Budget'!$F$1:$AC$1&gt;=(G$1),'FY22 Budget'!$F$1:$AC$1&lt;(H$1)),'FY22 Budget'!$C$1:$C$71=$D37)),"""")"),0.0)</f>
        <v>0</v>
      </c>
      <c r="H37" s="60">
        <f>IFERROR(__xludf.DUMMYFUNCTION("IFERROR(SUM(FILTER(FILTER('FY22 Budget'!$F$1:$AC$71,'FY22 Budget'!$F$1:$AC$1&gt;=(H$1),'FY22 Budget'!$F$1:$AC$1&lt;(I$1)),'FY22 Budget'!$C$1:$C$71=$D37)),"""")"),0.0)</f>
        <v>0</v>
      </c>
      <c r="I37" s="60">
        <f>IFERROR(__xludf.DUMMYFUNCTION("IFERROR(SUM(FILTER(FILTER('FY22 Budget'!$F$1:$AC$71,'FY22 Budget'!$F$1:$AC$1&gt;=(I$1),'FY22 Budget'!$F$1:$AC$1&lt;(J$1)),'FY22 Budget'!$C$1:$C$71=$D37)),"""")"),0.0)</f>
        <v>0</v>
      </c>
      <c r="J37" s="60">
        <f>IFERROR(__xludf.DUMMYFUNCTION("IFERROR(SUM(FILTER(FILTER('FY22 Budget'!$F$1:$AC$71,'FY22 Budget'!$F$1:$AC$1&gt;=(J$1),'FY22 Budget'!$F$1:$AC$1&lt;(K$1)),'FY22 Budget'!$C$1:$C$71=$D37)),"""")"),0.0)</f>
        <v>0</v>
      </c>
      <c r="K37" s="60">
        <f>IFERROR(__xludf.DUMMYFUNCTION("IFERROR(SUM(FILTER(FILTER('FY22 Budget'!$F$1:$AC$71,'FY22 Budget'!$F$1:$AC$1&gt;=(K$1),'FY22 Budget'!$F$1:$AC$1&lt;(L$1)),'FY22 Budget'!$C$1:$C$71=$D37)),"""")"),4933.25)</f>
        <v>4933.25</v>
      </c>
      <c r="L37" s="60">
        <f>IFERROR(__xludf.DUMMYFUNCTION("IFERROR(SUM(FILTER(FILTER('FY22 Budget'!$F$1:$AC$71,'FY22 Budget'!$F$1:$AC$1&gt;=(L$1),'FY22 Budget'!$F$1:$AC$1&lt;(M$1)),'FY22 Budget'!$C$1:$C$71=$D37)),"""")"),0.0)</f>
        <v>0</v>
      </c>
      <c r="M37" s="60">
        <f>IFERROR(__xludf.DUMMYFUNCTION("IFERROR(SUM(FILTER(FILTER('FY22 Budget'!$F$1:$AC$71,'FY22 Budget'!$F$1:$AC$1&gt;=(M$1),'FY22 Budget'!$F$1:$AC$1&lt;(N$1)),'FY22 Budget'!$C$1:$C$71=$D37)),"""")"),0.0)</f>
        <v>0</v>
      </c>
      <c r="N37" s="60">
        <f>IFERROR(__xludf.DUMMYFUNCTION("IFERROR(SUM(FILTER(FILTER('FY22 Budget'!$F$1:$AC$71,'FY22 Budget'!$F$1:$AC$1&gt;=(N$1),'FY22 Budget'!$F$1:$AC$1&lt;(O$1)),'FY22 Budget'!$C$1:$C$71=$D37)),"""")"),0.0)</f>
        <v>0</v>
      </c>
      <c r="O37" s="60">
        <f>IFERROR(__xludf.DUMMYFUNCTION("IFERROR(SUM(FILTER(FILTER('FY22 Budget'!$F$1:$AC$71,'FY22 Budget'!$F$1:$AC$1&gt;=(O$1),'FY22 Budget'!$F$1:$AC$1&lt;(P$1)),'FY22 Budget'!$C$1:$C$71=$D37)),"""")"),0.0)</f>
        <v>0</v>
      </c>
      <c r="P37" s="60">
        <f>IFERROR(__xludf.DUMMYFUNCTION("IFERROR(SUM(FILTER(FILTER('FY22 Budget'!$F$1:$AC$71,'FY22 Budget'!$F$1:$AC$1&gt;=(P$1),'FY22 Budget'!$F$1:$AC$1&lt;(Q$1)),'FY22 Budget'!$C$1:$C$71=$D37)),"""")"),0.0)</f>
        <v>0</v>
      </c>
      <c r="Q37" s="48"/>
      <c r="R37" s="60"/>
      <c r="S37" s="60">
        <f t="shared" ref="S37:AD37" si="36">SUM($E37:E37)</f>
        <v>0</v>
      </c>
      <c r="T37" s="60">
        <f t="shared" si="36"/>
        <v>4933.25</v>
      </c>
      <c r="U37" s="60">
        <f t="shared" si="36"/>
        <v>4933.25</v>
      </c>
      <c r="V37" s="60">
        <f t="shared" si="36"/>
        <v>4933.25</v>
      </c>
      <c r="W37" s="60">
        <f t="shared" si="36"/>
        <v>4933.25</v>
      </c>
      <c r="X37" s="60">
        <f t="shared" si="36"/>
        <v>4933.25</v>
      </c>
      <c r="Y37" s="60">
        <f t="shared" si="36"/>
        <v>9866.5</v>
      </c>
      <c r="Z37" s="60">
        <f t="shared" si="36"/>
        <v>9866.5</v>
      </c>
      <c r="AA37" s="60">
        <f t="shared" si="36"/>
        <v>9866.5</v>
      </c>
      <c r="AB37" s="60">
        <f t="shared" si="36"/>
        <v>9866.5</v>
      </c>
      <c r="AC37" s="60">
        <f t="shared" si="36"/>
        <v>9866.5</v>
      </c>
      <c r="AD37" s="60">
        <f t="shared" si="36"/>
        <v>9866.5</v>
      </c>
      <c r="AE37" s="48"/>
    </row>
    <row r="38" hidden="1">
      <c r="A38" s="41" t="s">
        <v>14</v>
      </c>
      <c r="B38" s="41" t="s">
        <v>35</v>
      </c>
      <c r="C38" s="41" t="s">
        <v>29</v>
      </c>
      <c r="D38" s="59" t="s">
        <v>83</v>
      </c>
      <c r="E38" s="60">
        <f>IFERROR(__xludf.DUMMYFUNCTION("IFERROR(SUM(FILTER(FILTER('FY22 Budget'!$F$1:$AC$71,'FY22 Budget'!$F$1:$AC$1&gt;=(E$1),'FY22 Budget'!$F$1:$AC$1&lt;(F$1)),'FY22 Budget'!$C$1:$C$71=$D38)),"""")"),0.0)</f>
        <v>0</v>
      </c>
      <c r="F38" s="60">
        <f>IFERROR(__xludf.DUMMYFUNCTION("IFERROR(SUM(FILTER(FILTER('FY22 Budget'!$F$1:$AC$71,'FY22 Budget'!$F$1:$AC$1&gt;=(F$1),'FY22 Budget'!$F$1:$AC$1&lt;(G$1)),'FY22 Budget'!$C$1:$C$71=$D38)),"""")"),50.0)</f>
        <v>50</v>
      </c>
      <c r="G38" s="60">
        <f>IFERROR(__xludf.DUMMYFUNCTION("IFERROR(SUM(FILTER(FILTER('FY22 Budget'!$F$1:$AC$71,'FY22 Budget'!$F$1:$AC$1&gt;=(G$1),'FY22 Budget'!$F$1:$AC$1&lt;(H$1)),'FY22 Budget'!$C$1:$C$71=$D38)),"""")"),50.0)</f>
        <v>50</v>
      </c>
      <c r="H38" s="60">
        <f>IFERROR(__xludf.DUMMYFUNCTION("IFERROR(SUM(FILTER(FILTER('FY22 Budget'!$F$1:$AC$71,'FY22 Budget'!$F$1:$AC$1&gt;=(H$1),'FY22 Budget'!$F$1:$AC$1&lt;(I$1)),'FY22 Budget'!$C$1:$C$71=$D38)),"""")"),50.0)</f>
        <v>50</v>
      </c>
      <c r="I38" s="60">
        <f>IFERROR(__xludf.DUMMYFUNCTION("IFERROR(SUM(FILTER(FILTER('FY22 Budget'!$F$1:$AC$71,'FY22 Budget'!$F$1:$AC$1&gt;=(I$1),'FY22 Budget'!$F$1:$AC$1&lt;(J$1)),'FY22 Budget'!$C$1:$C$71=$D38)),"""")"),50.0)</f>
        <v>50</v>
      </c>
      <c r="J38" s="60">
        <f>IFERROR(__xludf.DUMMYFUNCTION("IFERROR(SUM(FILTER(FILTER('FY22 Budget'!$F$1:$AC$71,'FY22 Budget'!$F$1:$AC$1&gt;=(J$1),'FY22 Budget'!$F$1:$AC$1&lt;(K$1)),'FY22 Budget'!$C$1:$C$71=$D38)),"""")"),50.0)</f>
        <v>50</v>
      </c>
      <c r="K38" s="60">
        <f>IFERROR(__xludf.DUMMYFUNCTION("IFERROR(SUM(FILTER(FILTER('FY22 Budget'!$F$1:$AC$71,'FY22 Budget'!$F$1:$AC$1&gt;=(K$1),'FY22 Budget'!$F$1:$AC$1&lt;(L$1)),'FY22 Budget'!$C$1:$C$71=$D38)),"""")"),0.0)</f>
        <v>0</v>
      </c>
      <c r="L38" s="60">
        <f>IFERROR(__xludf.DUMMYFUNCTION("IFERROR(SUM(FILTER(FILTER('FY22 Budget'!$F$1:$AC$71,'FY22 Budget'!$F$1:$AC$1&gt;=(L$1),'FY22 Budget'!$F$1:$AC$1&lt;(M$1)),'FY22 Budget'!$C$1:$C$71=$D38)),"""")"),50.0)</f>
        <v>50</v>
      </c>
      <c r="M38" s="60">
        <f>IFERROR(__xludf.DUMMYFUNCTION("IFERROR(SUM(FILTER(FILTER('FY22 Budget'!$F$1:$AC$71,'FY22 Budget'!$F$1:$AC$1&gt;=(M$1),'FY22 Budget'!$F$1:$AC$1&lt;(N$1)),'FY22 Budget'!$C$1:$C$71=$D38)),"""")"),50.0)</f>
        <v>50</v>
      </c>
      <c r="N38" s="60">
        <f>IFERROR(__xludf.DUMMYFUNCTION("IFERROR(SUM(FILTER(FILTER('FY22 Budget'!$F$1:$AC$71,'FY22 Budget'!$F$1:$AC$1&gt;=(N$1),'FY22 Budget'!$F$1:$AC$1&lt;(O$1)),'FY22 Budget'!$C$1:$C$71=$D38)),"""")"),50.0)</f>
        <v>50</v>
      </c>
      <c r="O38" s="60">
        <f>IFERROR(__xludf.DUMMYFUNCTION("IFERROR(SUM(FILTER(FILTER('FY22 Budget'!$F$1:$AC$71,'FY22 Budget'!$F$1:$AC$1&gt;=(O$1),'FY22 Budget'!$F$1:$AC$1&lt;(P$1)),'FY22 Budget'!$C$1:$C$71=$D38)),"""")"),50.0)</f>
        <v>50</v>
      </c>
      <c r="P38" s="60">
        <f>IFERROR(__xludf.DUMMYFUNCTION("IFERROR(SUM(FILTER(FILTER('FY22 Budget'!$F$1:$AC$71,'FY22 Budget'!$F$1:$AC$1&gt;=(P$1),'FY22 Budget'!$F$1:$AC$1&lt;(Q$1)),'FY22 Budget'!$C$1:$C$71=$D38)),"""")"),50.0)</f>
        <v>50</v>
      </c>
      <c r="Q38" s="48"/>
      <c r="R38" s="60"/>
      <c r="S38" s="60">
        <f t="shared" ref="S38:AD38" si="37">SUM($E38:E38)</f>
        <v>0</v>
      </c>
      <c r="T38" s="60">
        <f t="shared" si="37"/>
        <v>50</v>
      </c>
      <c r="U38" s="60">
        <f t="shared" si="37"/>
        <v>100</v>
      </c>
      <c r="V38" s="60">
        <f t="shared" si="37"/>
        <v>150</v>
      </c>
      <c r="W38" s="60">
        <f t="shared" si="37"/>
        <v>200</v>
      </c>
      <c r="X38" s="60">
        <f t="shared" si="37"/>
        <v>250</v>
      </c>
      <c r="Y38" s="60">
        <f t="shared" si="37"/>
        <v>250</v>
      </c>
      <c r="Z38" s="60">
        <f t="shared" si="37"/>
        <v>300</v>
      </c>
      <c r="AA38" s="60">
        <f t="shared" si="37"/>
        <v>350</v>
      </c>
      <c r="AB38" s="60">
        <f t="shared" si="37"/>
        <v>400</v>
      </c>
      <c r="AC38" s="60">
        <f t="shared" si="37"/>
        <v>450</v>
      </c>
      <c r="AD38" s="60">
        <f t="shared" si="37"/>
        <v>500</v>
      </c>
      <c r="AE38" s="48"/>
    </row>
    <row r="39" hidden="1">
      <c r="A39" s="41" t="s">
        <v>14</v>
      </c>
      <c r="B39" s="41" t="s">
        <v>35</v>
      </c>
      <c r="C39" s="41" t="s">
        <v>28</v>
      </c>
      <c r="D39" s="59" t="s">
        <v>84</v>
      </c>
      <c r="E39" s="60">
        <f>IFERROR(__xludf.DUMMYFUNCTION("IFERROR(SUM(FILTER(FILTER('FY22 Budget'!$F$1:$AC$71,'FY22 Budget'!$F$1:$AC$1&gt;=(E$1),'FY22 Budget'!$F$1:$AC$1&lt;(F$1)),'FY22 Budget'!$C$1:$C$71=$D39)),"""")"),0.0)</f>
        <v>0</v>
      </c>
      <c r="F39" s="60">
        <f>IFERROR(__xludf.DUMMYFUNCTION("IFERROR(SUM(FILTER(FILTER('FY22 Budget'!$F$1:$AC$71,'FY22 Budget'!$F$1:$AC$1&gt;=(F$1),'FY22 Budget'!$F$1:$AC$1&lt;(G$1)),'FY22 Budget'!$C$1:$C$71=$D39)),"""")"),2926.4)</f>
        <v>2926.4</v>
      </c>
      <c r="G39" s="60">
        <f>IFERROR(__xludf.DUMMYFUNCTION("IFERROR(SUM(FILTER(FILTER('FY22 Budget'!$F$1:$AC$71,'FY22 Budget'!$F$1:$AC$1&gt;=(G$1),'FY22 Budget'!$F$1:$AC$1&lt;(H$1)),'FY22 Budget'!$C$1:$C$71=$D39)),"""")"),2669.4)</f>
        <v>2669.4</v>
      </c>
      <c r="H39" s="60">
        <f>IFERROR(__xludf.DUMMYFUNCTION("IFERROR(SUM(FILTER(FILTER('FY22 Budget'!$F$1:$AC$71,'FY22 Budget'!$F$1:$AC$1&gt;=(H$1),'FY22 Budget'!$F$1:$AC$1&lt;(I$1)),'FY22 Budget'!$C$1:$C$71=$D39)),"""")"),2669.4)</f>
        <v>2669.4</v>
      </c>
      <c r="I39" s="60">
        <f>IFERROR(__xludf.DUMMYFUNCTION("IFERROR(SUM(FILTER(FILTER('FY22 Budget'!$F$1:$AC$71,'FY22 Budget'!$F$1:$AC$1&gt;=(I$1),'FY22 Budget'!$F$1:$AC$1&lt;(J$1)),'FY22 Budget'!$C$1:$C$71=$D39)),"""")"),2669.4)</f>
        <v>2669.4</v>
      </c>
      <c r="J39" s="60">
        <f>IFERROR(__xludf.DUMMYFUNCTION("IFERROR(SUM(FILTER(FILTER('FY22 Budget'!$F$1:$AC$71,'FY22 Budget'!$F$1:$AC$1&gt;=(J$1),'FY22 Budget'!$F$1:$AC$1&lt;(K$1)),'FY22 Budget'!$C$1:$C$71=$D39)),"""")"),2669.4)</f>
        <v>2669.4</v>
      </c>
      <c r="K39" s="60">
        <f>IFERROR(__xludf.DUMMYFUNCTION("IFERROR(SUM(FILTER(FILTER('FY22 Budget'!$F$1:$AC$71,'FY22 Budget'!$F$1:$AC$1&gt;=(K$1),'FY22 Budget'!$F$1:$AC$1&lt;(L$1)),'FY22 Budget'!$C$1:$C$71=$D39)),"""")"),0.0)</f>
        <v>0</v>
      </c>
      <c r="L39" s="60">
        <f>IFERROR(__xludf.DUMMYFUNCTION("IFERROR(SUM(FILTER(FILTER('FY22 Budget'!$F$1:$AC$71,'FY22 Budget'!$F$1:$AC$1&gt;=(L$1),'FY22 Budget'!$F$1:$AC$1&lt;(M$1)),'FY22 Budget'!$C$1:$C$71=$D39)),"""")"),2669.4)</f>
        <v>2669.4</v>
      </c>
      <c r="M39" s="60">
        <f>IFERROR(__xludf.DUMMYFUNCTION("IFERROR(SUM(FILTER(FILTER('FY22 Budget'!$F$1:$AC$71,'FY22 Budget'!$F$1:$AC$1&gt;=(M$1),'FY22 Budget'!$F$1:$AC$1&lt;(N$1)),'FY22 Budget'!$C$1:$C$71=$D39)),"""")"),2669.4)</f>
        <v>2669.4</v>
      </c>
      <c r="N39" s="60">
        <f>IFERROR(__xludf.DUMMYFUNCTION("IFERROR(SUM(FILTER(FILTER('FY22 Budget'!$F$1:$AC$71,'FY22 Budget'!$F$1:$AC$1&gt;=(N$1),'FY22 Budget'!$F$1:$AC$1&lt;(O$1)),'FY22 Budget'!$C$1:$C$71=$D39)),"""")"),2669.4)</f>
        <v>2669.4</v>
      </c>
      <c r="O39" s="60">
        <f>IFERROR(__xludf.DUMMYFUNCTION("IFERROR(SUM(FILTER(FILTER('FY22 Budget'!$F$1:$AC$71,'FY22 Budget'!$F$1:$AC$1&gt;=(O$1),'FY22 Budget'!$F$1:$AC$1&lt;(P$1)),'FY22 Budget'!$C$1:$C$71=$D39)),"""")"),2669.4)</f>
        <v>2669.4</v>
      </c>
      <c r="P39" s="60">
        <f>IFERROR(__xludf.DUMMYFUNCTION("IFERROR(SUM(FILTER(FILTER('FY22 Budget'!$F$1:$AC$71,'FY22 Budget'!$F$1:$AC$1&gt;=(P$1),'FY22 Budget'!$F$1:$AC$1&lt;(Q$1)),'FY22 Budget'!$C$1:$C$71=$D39)),"""")"),2669.4)</f>
        <v>2669.4</v>
      </c>
      <c r="Q39" s="48"/>
      <c r="R39" s="60"/>
      <c r="S39" s="60">
        <f t="shared" ref="S39:AD39" si="38">SUM($E39:E39)</f>
        <v>0</v>
      </c>
      <c r="T39" s="60">
        <f t="shared" si="38"/>
        <v>2926.4</v>
      </c>
      <c r="U39" s="60">
        <f t="shared" si="38"/>
        <v>5595.8</v>
      </c>
      <c r="V39" s="60">
        <f t="shared" si="38"/>
        <v>8265.2</v>
      </c>
      <c r="W39" s="60">
        <f t="shared" si="38"/>
        <v>10934.6</v>
      </c>
      <c r="X39" s="60">
        <f t="shared" si="38"/>
        <v>13604</v>
      </c>
      <c r="Y39" s="60">
        <f t="shared" si="38"/>
        <v>13604</v>
      </c>
      <c r="Z39" s="60">
        <f t="shared" si="38"/>
        <v>16273.4</v>
      </c>
      <c r="AA39" s="60">
        <f t="shared" si="38"/>
        <v>18942.8</v>
      </c>
      <c r="AB39" s="60">
        <f t="shared" si="38"/>
        <v>21612.2</v>
      </c>
      <c r="AC39" s="60">
        <f t="shared" si="38"/>
        <v>24281.6</v>
      </c>
      <c r="AD39" s="60">
        <f t="shared" si="38"/>
        <v>26951</v>
      </c>
      <c r="AE39" s="48"/>
    </row>
    <row r="40" hidden="1">
      <c r="A40" s="41" t="s">
        <v>14</v>
      </c>
      <c r="B40" s="41" t="s">
        <v>35</v>
      </c>
      <c r="C40" s="41" t="s">
        <v>28</v>
      </c>
      <c r="D40" s="59" t="s">
        <v>85</v>
      </c>
      <c r="E40" s="60">
        <f>IFERROR(__xludf.DUMMYFUNCTION("IFERROR(SUM(FILTER(FILTER('FY22 Budget'!$F$1:$AC$71,'FY22 Budget'!$F$1:$AC$1&gt;=(E$1),'FY22 Budget'!$F$1:$AC$1&lt;(F$1)),'FY22 Budget'!$C$1:$C$71=$D40)),"""")"),0.0)</f>
        <v>0</v>
      </c>
      <c r="F40" s="60">
        <f>IFERROR(__xludf.DUMMYFUNCTION("IFERROR(SUM(FILTER(FILTER('FY22 Budget'!$F$1:$AC$71,'FY22 Budget'!$F$1:$AC$1&gt;=(F$1),'FY22 Budget'!$F$1:$AC$1&lt;(G$1)),'FY22 Budget'!$C$1:$C$71=$D40)),"""")"),2186.92)</f>
        <v>2186.92</v>
      </c>
      <c r="G40" s="60">
        <f>IFERROR(__xludf.DUMMYFUNCTION("IFERROR(SUM(FILTER(FILTER('FY22 Budget'!$F$1:$AC$71,'FY22 Budget'!$F$1:$AC$1&gt;=(G$1),'FY22 Budget'!$F$1:$AC$1&lt;(H$1)),'FY22 Budget'!$C$1:$C$71=$D40)),"""")"),2186.92)</f>
        <v>2186.92</v>
      </c>
      <c r="H40" s="60">
        <f>IFERROR(__xludf.DUMMYFUNCTION("IFERROR(SUM(FILTER(FILTER('FY22 Budget'!$F$1:$AC$71,'FY22 Budget'!$F$1:$AC$1&gt;=(H$1),'FY22 Budget'!$F$1:$AC$1&lt;(I$1)),'FY22 Budget'!$C$1:$C$71=$D40)),"""")"),2186.92)</f>
        <v>2186.92</v>
      </c>
      <c r="I40" s="60">
        <f>IFERROR(__xludf.DUMMYFUNCTION("IFERROR(SUM(FILTER(FILTER('FY22 Budget'!$F$1:$AC$71,'FY22 Budget'!$F$1:$AC$1&gt;=(I$1),'FY22 Budget'!$F$1:$AC$1&lt;(J$1)),'FY22 Budget'!$C$1:$C$71=$D40)),"""")"),2186.92)</f>
        <v>2186.92</v>
      </c>
      <c r="J40" s="60">
        <f>IFERROR(__xludf.DUMMYFUNCTION("IFERROR(SUM(FILTER(FILTER('FY22 Budget'!$F$1:$AC$71,'FY22 Budget'!$F$1:$AC$1&gt;=(J$1),'FY22 Budget'!$F$1:$AC$1&lt;(K$1)),'FY22 Budget'!$C$1:$C$71=$D40)),"""")"),2186.92)</f>
        <v>2186.92</v>
      </c>
      <c r="K40" s="60">
        <f>IFERROR(__xludf.DUMMYFUNCTION("IFERROR(SUM(FILTER(FILTER('FY22 Budget'!$F$1:$AC$71,'FY22 Budget'!$F$1:$AC$1&gt;=(K$1),'FY22 Budget'!$F$1:$AC$1&lt;(L$1)),'FY22 Budget'!$C$1:$C$71=$D40)),"""")"),0.0)</f>
        <v>0</v>
      </c>
      <c r="L40" s="60">
        <f>IFERROR(__xludf.DUMMYFUNCTION("IFERROR(SUM(FILTER(FILTER('FY22 Budget'!$F$1:$AC$71,'FY22 Budget'!$F$1:$AC$1&gt;=(L$1),'FY22 Budget'!$F$1:$AC$1&lt;(M$1)),'FY22 Budget'!$C$1:$C$71=$D40)),"""")"),2186.92)</f>
        <v>2186.92</v>
      </c>
      <c r="M40" s="60">
        <f>IFERROR(__xludf.DUMMYFUNCTION("IFERROR(SUM(FILTER(FILTER('FY22 Budget'!$F$1:$AC$71,'FY22 Budget'!$F$1:$AC$1&gt;=(M$1),'FY22 Budget'!$F$1:$AC$1&lt;(N$1)),'FY22 Budget'!$C$1:$C$71=$D40)),"""")"),2186.92)</f>
        <v>2186.92</v>
      </c>
      <c r="N40" s="60">
        <f>IFERROR(__xludf.DUMMYFUNCTION("IFERROR(SUM(FILTER(FILTER('FY22 Budget'!$F$1:$AC$71,'FY22 Budget'!$F$1:$AC$1&gt;=(N$1),'FY22 Budget'!$F$1:$AC$1&lt;(O$1)),'FY22 Budget'!$C$1:$C$71=$D40)),"""")"),2186.92)</f>
        <v>2186.92</v>
      </c>
      <c r="O40" s="60">
        <f>IFERROR(__xludf.DUMMYFUNCTION("IFERROR(SUM(FILTER(FILTER('FY22 Budget'!$F$1:$AC$71,'FY22 Budget'!$F$1:$AC$1&gt;=(O$1),'FY22 Budget'!$F$1:$AC$1&lt;(P$1)),'FY22 Budget'!$C$1:$C$71=$D40)),"""")"),2186.92)</f>
        <v>2186.92</v>
      </c>
      <c r="P40" s="60">
        <f>IFERROR(__xludf.DUMMYFUNCTION("IFERROR(SUM(FILTER(FILTER('FY22 Budget'!$F$1:$AC$71,'FY22 Budget'!$F$1:$AC$1&gt;=(P$1),'FY22 Budget'!$F$1:$AC$1&lt;(Q$1)),'FY22 Budget'!$C$1:$C$71=$D40)),"""")"),2186.92)</f>
        <v>2186.92</v>
      </c>
      <c r="Q40" s="48"/>
      <c r="R40" s="60"/>
      <c r="S40" s="60">
        <f t="shared" ref="S40:AD40" si="39">SUM($E40:E40)</f>
        <v>0</v>
      </c>
      <c r="T40" s="60">
        <f t="shared" si="39"/>
        <v>2186.92</v>
      </c>
      <c r="U40" s="60">
        <f t="shared" si="39"/>
        <v>4373.84</v>
      </c>
      <c r="V40" s="60">
        <f t="shared" si="39"/>
        <v>6560.76</v>
      </c>
      <c r="W40" s="60">
        <f t="shared" si="39"/>
        <v>8747.68</v>
      </c>
      <c r="X40" s="60">
        <f t="shared" si="39"/>
        <v>10934.6</v>
      </c>
      <c r="Y40" s="60">
        <f t="shared" si="39"/>
        <v>10934.6</v>
      </c>
      <c r="Z40" s="60">
        <f t="shared" si="39"/>
        <v>13121.52</v>
      </c>
      <c r="AA40" s="60">
        <f t="shared" si="39"/>
        <v>15308.44</v>
      </c>
      <c r="AB40" s="60">
        <f t="shared" si="39"/>
        <v>17495.36</v>
      </c>
      <c r="AC40" s="60">
        <f t="shared" si="39"/>
        <v>19682.28</v>
      </c>
      <c r="AD40" s="60">
        <f t="shared" si="39"/>
        <v>21869.2</v>
      </c>
      <c r="AE40" s="48"/>
    </row>
    <row r="41" hidden="1">
      <c r="A41" s="41" t="s">
        <v>14</v>
      </c>
      <c r="B41" s="41" t="s">
        <v>35</v>
      </c>
      <c r="C41" s="41" t="s">
        <v>28</v>
      </c>
      <c r="D41" s="59" t="s">
        <v>86</v>
      </c>
      <c r="E41" s="60">
        <f>IFERROR(__xludf.DUMMYFUNCTION("IFERROR(SUM(FILTER(FILTER('FY22 Budget'!$F$1:$AC$71,'FY22 Budget'!$F$1:$AC$1&gt;=(E$1),'FY22 Budget'!$F$1:$AC$1&lt;(F$1)),'FY22 Budget'!$C$1:$C$71=$D41)),"""")"),0.0)</f>
        <v>0</v>
      </c>
      <c r="F41" s="60">
        <f>IFERROR(__xludf.DUMMYFUNCTION("IFERROR(SUM(FILTER(FILTER('FY22 Budget'!$F$1:$AC$71,'FY22 Budget'!$F$1:$AC$1&gt;=(F$1),'FY22 Budget'!$F$1:$AC$1&lt;(G$1)),'FY22 Budget'!$C$1:$C$71=$D41)),"""")"),2027.04)</f>
        <v>2027.04</v>
      </c>
      <c r="G41" s="60">
        <f>IFERROR(__xludf.DUMMYFUNCTION("IFERROR(SUM(FILTER(FILTER('FY22 Budget'!$F$1:$AC$71,'FY22 Budget'!$F$1:$AC$1&gt;=(G$1),'FY22 Budget'!$F$1:$AC$1&lt;(H$1)),'FY22 Budget'!$C$1:$C$71=$D41)),"""")"),2027.04)</f>
        <v>2027.04</v>
      </c>
      <c r="H41" s="60">
        <f>IFERROR(__xludf.DUMMYFUNCTION("IFERROR(SUM(FILTER(FILTER('FY22 Budget'!$F$1:$AC$71,'FY22 Budget'!$F$1:$AC$1&gt;=(H$1),'FY22 Budget'!$F$1:$AC$1&lt;(I$1)),'FY22 Budget'!$C$1:$C$71=$D41)),"""")"),2027.04)</f>
        <v>2027.04</v>
      </c>
      <c r="I41" s="60">
        <f>IFERROR(__xludf.DUMMYFUNCTION("IFERROR(SUM(FILTER(FILTER('FY22 Budget'!$F$1:$AC$71,'FY22 Budget'!$F$1:$AC$1&gt;=(I$1),'FY22 Budget'!$F$1:$AC$1&lt;(J$1)),'FY22 Budget'!$C$1:$C$71=$D41)),"""")"),2027.04)</f>
        <v>2027.04</v>
      </c>
      <c r="J41" s="60">
        <f>IFERROR(__xludf.DUMMYFUNCTION("IFERROR(SUM(FILTER(FILTER('FY22 Budget'!$F$1:$AC$71,'FY22 Budget'!$F$1:$AC$1&gt;=(J$1),'FY22 Budget'!$F$1:$AC$1&lt;(K$1)),'FY22 Budget'!$C$1:$C$71=$D41)),"""")"),2027.04)</f>
        <v>2027.04</v>
      </c>
      <c r="K41" s="60">
        <f>IFERROR(__xludf.DUMMYFUNCTION("IFERROR(SUM(FILTER(FILTER('FY22 Budget'!$F$1:$AC$71,'FY22 Budget'!$F$1:$AC$1&gt;=(K$1),'FY22 Budget'!$F$1:$AC$1&lt;(L$1)),'FY22 Budget'!$C$1:$C$71=$D41)),"""")"),0.0)</f>
        <v>0</v>
      </c>
      <c r="L41" s="60">
        <f>IFERROR(__xludf.DUMMYFUNCTION("IFERROR(SUM(FILTER(FILTER('FY22 Budget'!$F$1:$AC$71,'FY22 Budget'!$F$1:$AC$1&gt;=(L$1),'FY22 Budget'!$F$1:$AC$1&lt;(M$1)),'FY22 Budget'!$C$1:$C$71=$D41)),"""")"),2027.04)</f>
        <v>2027.04</v>
      </c>
      <c r="M41" s="60">
        <f>IFERROR(__xludf.DUMMYFUNCTION("IFERROR(SUM(FILTER(FILTER('FY22 Budget'!$F$1:$AC$71,'FY22 Budget'!$F$1:$AC$1&gt;=(M$1),'FY22 Budget'!$F$1:$AC$1&lt;(N$1)),'FY22 Budget'!$C$1:$C$71=$D41)),"""")"),2027.04)</f>
        <v>2027.04</v>
      </c>
      <c r="N41" s="60">
        <f>IFERROR(__xludf.DUMMYFUNCTION("IFERROR(SUM(FILTER(FILTER('FY22 Budget'!$F$1:$AC$71,'FY22 Budget'!$F$1:$AC$1&gt;=(N$1),'FY22 Budget'!$F$1:$AC$1&lt;(O$1)),'FY22 Budget'!$C$1:$C$71=$D41)),"""")"),2027.04)</f>
        <v>2027.04</v>
      </c>
      <c r="O41" s="60">
        <f>IFERROR(__xludf.DUMMYFUNCTION("IFERROR(SUM(FILTER(FILTER('FY22 Budget'!$F$1:$AC$71,'FY22 Budget'!$F$1:$AC$1&gt;=(O$1),'FY22 Budget'!$F$1:$AC$1&lt;(P$1)),'FY22 Budget'!$C$1:$C$71=$D41)),"""")"),2027.04)</f>
        <v>2027.04</v>
      </c>
      <c r="P41" s="60">
        <f>IFERROR(__xludf.DUMMYFUNCTION("IFERROR(SUM(FILTER(FILTER('FY22 Budget'!$F$1:$AC$71,'FY22 Budget'!$F$1:$AC$1&gt;=(P$1),'FY22 Budget'!$F$1:$AC$1&lt;(Q$1)),'FY22 Budget'!$C$1:$C$71=$D41)),"""")"),2027.04)</f>
        <v>2027.04</v>
      </c>
      <c r="Q41" s="48"/>
      <c r="R41" s="60"/>
      <c r="S41" s="60">
        <f t="shared" ref="S41:AD41" si="40">SUM($E41:E41)</f>
        <v>0</v>
      </c>
      <c r="T41" s="60">
        <f t="shared" si="40"/>
        <v>2027.04</v>
      </c>
      <c r="U41" s="60">
        <f t="shared" si="40"/>
        <v>4054.08</v>
      </c>
      <c r="V41" s="60">
        <f t="shared" si="40"/>
        <v>6081.12</v>
      </c>
      <c r="W41" s="60">
        <f t="shared" si="40"/>
        <v>8108.16</v>
      </c>
      <c r="X41" s="60">
        <f t="shared" si="40"/>
        <v>10135.2</v>
      </c>
      <c r="Y41" s="60">
        <f t="shared" si="40"/>
        <v>10135.2</v>
      </c>
      <c r="Z41" s="60">
        <f t="shared" si="40"/>
        <v>12162.24</v>
      </c>
      <c r="AA41" s="60">
        <f t="shared" si="40"/>
        <v>14189.28</v>
      </c>
      <c r="AB41" s="60">
        <f t="shared" si="40"/>
        <v>16216.32</v>
      </c>
      <c r="AC41" s="60">
        <f t="shared" si="40"/>
        <v>18243.36</v>
      </c>
      <c r="AD41" s="60">
        <f t="shared" si="40"/>
        <v>20270.4</v>
      </c>
      <c r="AE41" s="48"/>
    </row>
    <row r="42" hidden="1">
      <c r="A42" s="41" t="s">
        <v>14</v>
      </c>
      <c r="B42" s="41" t="s">
        <v>35</v>
      </c>
      <c r="C42" s="41" t="s">
        <v>28</v>
      </c>
      <c r="D42" s="59" t="s">
        <v>87</v>
      </c>
      <c r="E42" s="60">
        <f>IFERROR(__xludf.DUMMYFUNCTION("IFERROR(SUM(FILTER(FILTER('FY22 Budget'!$F$1:$AC$71,'FY22 Budget'!$F$1:$AC$1&gt;=(E$1),'FY22 Budget'!$F$1:$AC$1&lt;(F$1)),'FY22 Budget'!$C$1:$C$71=$D42)),"""")"),9176.23)</f>
        <v>9176.23</v>
      </c>
      <c r="F42" s="60">
        <f>IFERROR(__xludf.DUMMYFUNCTION("IFERROR(SUM(FILTER(FILTER('FY22 Budget'!$F$1:$AC$71,'FY22 Budget'!$F$1:$AC$1&gt;=(F$1),'FY22 Budget'!$F$1:$AC$1&lt;(G$1)),'FY22 Budget'!$C$1:$C$71=$D42)),"""")"),9176.23)</f>
        <v>9176.23</v>
      </c>
      <c r="G42" s="60">
        <f>IFERROR(__xludf.DUMMYFUNCTION("IFERROR(SUM(FILTER(FILTER('FY22 Budget'!$F$1:$AC$71,'FY22 Budget'!$F$1:$AC$1&gt;=(G$1),'FY22 Budget'!$F$1:$AC$1&lt;(H$1)),'FY22 Budget'!$C$1:$C$71=$D42)),"""")"),9176.23)</f>
        <v>9176.23</v>
      </c>
      <c r="H42" s="60">
        <f>IFERROR(__xludf.DUMMYFUNCTION("IFERROR(SUM(FILTER(FILTER('FY22 Budget'!$F$1:$AC$71,'FY22 Budget'!$F$1:$AC$1&gt;=(H$1),'FY22 Budget'!$F$1:$AC$1&lt;(I$1)),'FY22 Budget'!$C$1:$C$71=$D42)),"""")"),9176.23)</f>
        <v>9176.23</v>
      </c>
      <c r="I42" s="60">
        <f>IFERROR(__xludf.DUMMYFUNCTION("IFERROR(SUM(FILTER(FILTER('FY22 Budget'!$F$1:$AC$71,'FY22 Budget'!$F$1:$AC$1&gt;=(I$1),'FY22 Budget'!$F$1:$AC$1&lt;(J$1)),'FY22 Budget'!$C$1:$C$71=$D42)),"""")"),9176.23)</f>
        <v>9176.23</v>
      </c>
      <c r="J42" s="60">
        <f>IFERROR(__xludf.DUMMYFUNCTION("IFERROR(SUM(FILTER(FILTER('FY22 Budget'!$F$1:$AC$71,'FY22 Budget'!$F$1:$AC$1&gt;=(J$1),'FY22 Budget'!$F$1:$AC$1&lt;(K$1)),'FY22 Budget'!$C$1:$C$71=$D42)),"""")"),9176.23)</f>
        <v>9176.23</v>
      </c>
      <c r="K42" s="60">
        <f>IFERROR(__xludf.DUMMYFUNCTION("IFERROR(SUM(FILTER(FILTER('FY22 Budget'!$F$1:$AC$71,'FY22 Budget'!$F$1:$AC$1&gt;=(K$1),'FY22 Budget'!$F$1:$AC$1&lt;(L$1)),'FY22 Budget'!$C$1:$C$71=$D42)),"""")"),9176.23)</f>
        <v>9176.23</v>
      </c>
      <c r="L42" s="60">
        <f>IFERROR(__xludf.DUMMYFUNCTION("IFERROR(SUM(FILTER(FILTER('FY22 Budget'!$F$1:$AC$71,'FY22 Budget'!$F$1:$AC$1&gt;=(L$1),'FY22 Budget'!$F$1:$AC$1&lt;(M$1)),'FY22 Budget'!$C$1:$C$71=$D42)),"""")"),9176.23)</f>
        <v>9176.23</v>
      </c>
      <c r="M42" s="60">
        <f>IFERROR(__xludf.DUMMYFUNCTION("IFERROR(SUM(FILTER(FILTER('FY22 Budget'!$F$1:$AC$71,'FY22 Budget'!$F$1:$AC$1&gt;=(M$1),'FY22 Budget'!$F$1:$AC$1&lt;(N$1)),'FY22 Budget'!$C$1:$C$71=$D42)),"""")"),9176.23)</f>
        <v>9176.23</v>
      </c>
      <c r="N42" s="60">
        <f>IFERROR(__xludf.DUMMYFUNCTION("IFERROR(SUM(FILTER(FILTER('FY22 Budget'!$F$1:$AC$71,'FY22 Budget'!$F$1:$AC$1&gt;=(N$1),'FY22 Budget'!$F$1:$AC$1&lt;(O$1)),'FY22 Budget'!$C$1:$C$71=$D42)),"""")"),9176.23)</f>
        <v>9176.23</v>
      </c>
      <c r="O42" s="60">
        <f>IFERROR(__xludf.DUMMYFUNCTION("IFERROR(SUM(FILTER(FILTER('FY22 Budget'!$F$1:$AC$71,'FY22 Budget'!$F$1:$AC$1&gt;=(O$1),'FY22 Budget'!$F$1:$AC$1&lt;(P$1)),'FY22 Budget'!$C$1:$C$71=$D42)),"""")"),9176.23)</f>
        <v>9176.23</v>
      </c>
      <c r="P42" s="60">
        <f>IFERROR(__xludf.DUMMYFUNCTION("IFERROR(SUM(FILTER(FILTER('FY22 Budget'!$F$1:$AC$71,'FY22 Budget'!$F$1:$AC$1&gt;=(P$1),'FY22 Budget'!$F$1:$AC$1&lt;(Q$1)),'FY22 Budget'!$C$1:$C$71=$D42)),"""")"),9176.23)</f>
        <v>9176.23</v>
      </c>
      <c r="Q42" s="48"/>
      <c r="R42" s="60"/>
      <c r="S42" s="60">
        <f t="shared" ref="S42:AD42" si="41">SUM($E42:E42)</f>
        <v>9176.23</v>
      </c>
      <c r="T42" s="60">
        <f t="shared" si="41"/>
        <v>18352.46</v>
      </c>
      <c r="U42" s="60">
        <f t="shared" si="41"/>
        <v>27528.69</v>
      </c>
      <c r="V42" s="60">
        <f t="shared" si="41"/>
        <v>36704.92</v>
      </c>
      <c r="W42" s="60">
        <f t="shared" si="41"/>
        <v>45881.15</v>
      </c>
      <c r="X42" s="60">
        <f t="shared" si="41"/>
        <v>55057.38</v>
      </c>
      <c r="Y42" s="60">
        <f t="shared" si="41"/>
        <v>64233.61</v>
      </c>
      <c r="Z42" s="60">
        <f t="shared" si="41"/>
        <v>73409.84</v>
      </c>
      <c r="AA42" s="60">
        <f t="shared" si="41"/>
        <v>82586.07</v>
      </c>
      <c r="AB42" s="60">
        <f t="shared" si="41"/>
        <v>91762.3</v>
      </c>
      <c r="AC42" s="60">
        <f t="shared" si="41"/>
        <v>100938.53</v>
      </c>
      <c r="AD42" s="60">
        <f t="shared" si="41"/>
        <v>110114.76</v>
      </c>
      <c r="AE42" s="48"/>
    </row>
    <row r="43" hidden="1">
      <c r="A43" s="41" t="s">
        <v>14</v>
      </c>
      <c r="B43" s="41" t="s">
        <v>35</v>
      </c>
      <c r="C43" s="41" t="s">
        <v>28</v>
      </c>
      <c r="D43" s="59" t="s">
        <v>88</v>
      </c>
      <c r="E43" s="60">
        <f>IFERROR(__xludf.DUMMYFUNCTION("IFERROR(SUM(FILTER(FILTER('FY22 Budget'!$F$1:$AC$71,'FY22 Budget'!$F$1:$AC$1&gt;=(E$1),'FY22 Budget'!$F$1:$AC$1&lt;(F$1)),'FY22 Budget'!$C$1:$C$71=$D43)),"""")"),23490.69)</f>
        <v>23490.69</v>
      </c>
      <c r="F43" s="60">
        <f>IFERROR(__xludf.DUMMYFUNCTION("IFERROR(SUM(FILTER(FILTER('FY22 Budget'!$F$1:$AC$71,'FY22 Budget'!$F$1:$AC$1&gt;=(F$1),'FY22 Budget'!$F$1:$AC$1&lt;(G$1)),'FY22 Budget'!$C$1:$C$71=$D43)),"""")"),23490.69)</f>
        <v>23490.69</v>
      </c>
      <c r="G43" s="60">
        <f>IFERROR(__xludf.DUMMYFUNCTION("IFERROR(SUM(FILTER(FILTER('FY22 Budget'!$F$1:$AC$71,'FY22 Budget'!$F$1:$AC$1&gt;=(G$1),'FY22 Budget'!$F$1:$AC$1&lt;(H$1)),'FY22 Budget'!$C$1:$C$71=$D43)),"""")"),23490.69)</f>
        <v>23490.69</v>
      </c>
      <c r="H43" s="60">
        <f>IFERROR(__xludf.DUMMYFUNCTION("IFERROR(SUM(FILTER(FILTER('FY22 Budget'!$F$1:$AC$71,'FY22 Budget'!$F$1:$AC$1&gt;=(H$1),'FY22 Budget'!$F$1:$AC$1&lt;(I$1)),'FY22 Budget'!$C$1:$C$71=$D43)),"""")"),23490.69)</f>
        <v>23490.69</v>
      </c>
      <c r="I43" s="60">
        <f>IFERROR(__xludf.DUMMYFUNCTION("IFERROR(SUM(FILTER(FILTER('FY22 Budget'!$F$1:$AC$71,'FY22 Budget'!$F$1:$AC$1&gt;=(I$1),'FY22 Budget'!$F$1:$AC$1&lt;(J$1)),'FY22 Budget'!$C$1:$C$71=$D43)),"""")"),23490.69)</f>
        <v>23490.69</v>
      </c>
      <c r="J43" s="60">
        <f>IFERROR(__xludf.DUMMYFUNCTION("IFERROR(SUM(FILTER(FILTER('FY22 Budget'!$F$1:$AC$71,'FY22 Budget'!$F$1:$AC$1&gt;=(J$1),'FY22 Budget'!$F$1:$AC$1&lt;(K$1)),'FY22 Budget'!$C$1:$C$71=$D43)),"""")"),23490.69)</f>
        <v>23490.69</v>
      </c>
      <c r="K43" s="60">
        <f>IFERROR(__xludf.DUMMYFUNCTION("IFERROR(SUM(FILTER(FILTER('FY22 Budget'!$F$1:$AC$71,'FY22 Budget'!$F$1:$AC$1&gt;=(K$1),'FY22 Budget'!$F$1:$AC$1&lt;(L$1)),'FY22 Budget'!$C$1:$C$71=$D43)),"""")"),23490.69)</f>
        <v>23490.69</v>
      </c>
      <c r="L43" s="60">
        <f>IFERROR(__xludf.DUMMYFUNCTION("IFERROR(SUM(FILTER(FILTER('FY22 Budget'!$F$1:$AC$71,'FY22 Budget'!$F$1:$AC$1&gt;=(L$1),'FY22 Budget'!$F$1:$AC$1&lt;(M$1)),'FY22 Budget'!$C$1:$C$71=$D43)),"""")"),23490.69)</f>
        <v>23490.69</v>
      </c>
      <c r="M43" s="60">
        <f>IFERROR(__xludf.DUMMYFUNCTION("IFERROR(SUM(FILTER(FILTER('FY22 Budget'!$F$1:$AC$71,'FY22 Budget'!$F$1:$AC$1&gt;=(M$1),'FY22 Budget'!$F$1:$AC$1&lt;(N$1)),'FY22 Budget'!$C$1:$C$71=$D43)),"""")"),23490.69)</f>
        <v>23490.69</v>
      </c>
      <c r="N43" s="60">
        <f>IFERROR(__xludf.DUMMYFUNCTION("IFERROR(SUM(FILTER(FILTER('FY22 Budget'!$F$1:$AC$71,'FY22 Budget'!$F$1:$AC$1&gt;=(N$1),'FY22 Budget'!$F$1:$AC$1&lt;(O$1)),'FY22 Budget'!$C$1:$C$71=$D43)),"""")"),23490.69)</f>
        <v>23490.69</v>
      </c>
      <c r="O43" s="60">
        <f>IFERROR(__xludf.DUMMYFUNCTION("IFERROR(SUM(FILTER(FILTER('FY22 Budget'!$F$1:$AC$71,'FY22 Budget'!$F$1:$AC$1&gt;=(O$1),'FY22 Budget'!$F$1:$AC$1&lt;(P$1)),'FY22 Budget'!$C$1:$C$71=$D43)),"""")"),23490.69)</f>
        <v>23490.69</v>
      </c>
      <c r="P43" s="60">
        <f>IFERROR(__xludf.DUMMYFUNCTION("IFERROR(SUM(FILTER(FILTER('FY22 Budget'!$F$1:$AC$71,'FY22 Budget'!$F$1:$AC$1&gt;=(P$1),'FY22 Budget'!$F$1:$AC$1&lt;(Q$1)),'FY22 Budget'!$C$1:$C$71=$D43)),"""")"),23490.69)</f>
        <v>23490.69</v>
      </c>
      <c r="Q43" s="48"/>
      <c r="R43" s="60"/>
      <c r="S43" s="60">
        <f t="shared" ref="S43:AD43" si="42">SUM($E43:E43)</f>
        <v>23490.69</v>
      </c>
      <c r="T43" s="60">
        <f t="shared" si="42"/>
        <v>46981.38</v>
      </c>
      <c r="U43" s="60">
        <f t="shared" si="42"/>
        <v>70472.07</v>
      </c>
      <c r="V43" s="60">
        <f t="shared" si="42"/>
        <v>93962.76</v>
      </c>
      <c r="W43" s="60">
        <f t="shared" si="42"/>
        <v>117453.45</v>
      </c>
      <c r="X43" s="60">
        <f t="shared" si="42"/>
        <v>140944.14</v>
      </c>
      <c r="Y43" s="60">
        <f t="shared" si="42"/>
        <v>164434.83</v>
      </c>
      <c r="Z43" s="60">
        <f t="shared" si="42"/>
        <v>187925.52</v>
      </c>
      <c r="AA43" s="60">
        <f t="shared" si="42"/>
        <v>211416.21</v>
      </c>
      <c r="AB43" s="60">
        <f t="shared" si="42"/>
        <v>234906.9</v>
      </c>
      <c r="AC43" s="60">
        <f t="shared" si="42"/>
        <v>258397.59</v>
      </c>
      <c r="AD43" s="60">
        <f t="shared" si="42"/>
        <v>281888.28</v>
      </c>
      <c r="AE43" s="48"/>
    </row>
    <row r="44" hidden="1">
      <c r="A44" s="41" t="s">
        <v>14</v>
      </c>
      <c r="B44" s="41" t="s">
        <v>35</v>
      </c>
      <c r="C44" s="41" t="s">
        <v>25</v>
      </c>
      <c r="D44" s="59" t="s">
        <v>89</v>
      </c>
      <c r="E44" s="60">
        <f>IFERROR(__xludf.DUMMYFUNCTION("IFERROR(SUM(FILTER(FILTER('FY22 Budget'!$F$1:$AC$71,'FY22 Budget'!$F$1:$AC$1&gt;=(E$1),'FY22 Budget'!$F$1:$AC$1&lt;(F$1)),'FY22 Budget'!$C$1:$C$71=$D44)),"""")"),0.0)</f>
        <v>0</v>
      </c>
      <c r="F44" s="60">
        <f>IFERROR(__xludf.DUMMYFUNCTION("IFERROR(SUM(FILTER(FILTER('FY22 Budget'!$F$1:$AC$71,'FY22 Budget'!$F$1:$AC$1&gt;=(F$1),'FY22 Budget'!$F$1:$AC$1&lt;(G$1)),'FY22 Budget'!$C$1:$C$71=$D44)),"""")"),0.0)</f>
        <v>0</v>
      </c>
      <c r="G44" s="60">
        <f>IFERROR(__xludf.DUMMYFUNCTION("IFERROR(SUM(FILTER(FILTER('FY22 Budget'!$F$1:$AC$71,'FY22 Budget'!$F$1:$AC$1&gt;=(G$1),'FY22 Budget'!$F$1:$AC$1&lt;(H$1)),'FY22 Budget'!$C$1:$C$71=$D44)),"""")"),3000.0)</f>
        <v>3000</v>
      </c>
      <c r="H44" s="60">
        <f>IFERROR(__xludf.DUMMYFUNCTION("IFERROR(SUM(FILTER(FILTER('FY22 Budget'!$F$1:$AC$71,'FY22 Budget'!$F$1:$AC$1&gt;=(H$1),'FY22 Budget'!$F$1:$AC$1&lt;(I$1)),'FY22 Budget'!$C$1:$C$71=$D44)),"""")"),0.0)</f>
        <v>0</v>
      </c>
      <c r="I44" s="60">
        <f>IFERROR(__xludf.DUMMYFUNCTION("IFERROR(SUM(FILTER(FILTER('FY22 Budget'!$F$1:$AC$71,'FY22 Budget'!$F$1:$AC$1&gt;=(I$1),'FY22 Budget'!$F$1:$AC$1&lt;(J$1)),'FY22 Budget'!$C$1:$C$71=$D44)),"""")"),0.0)</f>
        <v>0</v>
      </c>
      <c r="J44" s="60">
        <f>IFERROR(__xludf.DUMMYFUNCTION("IFERROR(SUM(FILTER(FILTER('FY22 Budget'!$F$1:$AC$71,'FY22 Budget'!$F$1:$AC$1&gt;=(J$1),'FY22 Budget'!$F$1:$AC$1&lt;(K$1)),'FY22 Budget'!$C$1:$C$71=$D44)),"""")"),0.0)</f>
        <v>0</v>
      </c>
      <c r="K44" s="60">
        <f>IFERROR(__xludf.DUMMYFUNCTION("IFERROR(SUM(FILTER(FILTER('FY22 Budget'!$F$1:$AC$71,'FY22 Budget'!$F$1:$AC$1&gt;=(K$1),'FY22 Budget'!$F$1:$AC$1&lt;(L$1)),'FY22 Budget'!$C$1:$C$71=$D44)),"""")"),0.0)</f>
        <v>0</v>
      </c>
      <c r="L44" s="60">
        <f>IFERROR(__xludf.DUMMYFUNCTION("IFERROR(SUM(FILTER(FILTER('FY22 Budget'!$F$1:$AC$71,'FY22 Budget'!$F$1:$AC$1&gt;=(L$1),'FY22 Budget'!$F$1:$AC$1&lt;(M$1)),'FY22 Budget'!$C$1:$C$71=$D44)),"""")"),0.0)</f>
        <v>0</v>
      </c>
      <c r="M44" s="60">
        <f>IFERROR(__xludf.DUMMYFUNCTION("IFERROR(SUM(FILTER(FILTER('FY22 Budget'!$F$1:$AC$71,'FY22 Budget'!$F$1:$AC$1&gt;=(M$1),'FY22 Budget'!$F$1:$AC$1&lt;(N$1)),'FY22 Budget'!$C$1:$C$71=$D44)),"""")"),0.0)</f>
        <v>0</v>
      </c>
      <c r="N44" s="60">
        <f>IFERROR(__xludf.DUMMYFUNCTION("IFERROR(SUM(FILTER(FILTER('FY22 Budget'!$F$1:$AC$71,'FY22 Budget'!$F$1:$AC$1&gt;=(N$1),'FY22 Budget'!$F$1:$AC$1&lt;(O$1)),'FY22 Budget'!$C$1:$C$71=$D44)),"""")"),0.0)</f>
        <v>0</v>
      </c>
      <c r="O44" s="60">
        <f>IFERROR(__xludf.DUMMYFUNCTION("IFERROR(SUM(FILTER(FILTER('FY22 Budget'!$F$1:$AC$71,'FY22 Budget'!$F$1:$AC$1&gt;=(O$1),'FY22 Budget'!$F$1:$AC$1&lt;(P$1)),'FY22 Budget'!$C$1:$C$71=$D44)),"""")"),0.0)</f>
        <v>0</v>
      </c>
      <c r="P44" s="60">
        <f>IFERROR(__xludf.DUMMYFUNCTION("IFERROR(SUM(FILTER(FILTER('FY22 Budget'!$F$1:$AC$71,'FY22 Budget'!$F$1:$AC$1&gt;=(P$1),'FY22 Budget'!$F$1:$AC$1&lt;(Q$1)),'FY22 Budget'!$C$1:$C$71=$D44)),"""")"),0.0)</f>
        <v>0</v>
      </c>
      <c r="Q44" s="48"/>
      <c r="R44" s="60"/>
      <c r="S44" s="60">
        <f t="shared" ref="S44:AD44" si="43">SUM($E44:E44)</f>
        <v>0</v>
      </c>
      <c r="T44" s="60">
        <f t="shared" si="43"/>
        <v>0</v>
      </c>
      <c r="U44" s="60">
        <f t="shared" si="43"/>
        <v>3000</v>
      </c>
      <c r="V44" s="60">
        <f t="shared" si="43"/>
        <v>3000</v>
      </c>
      <c r="W44" s="60">
        <f t="shared" si="43"/>
        <v>3000</v>
      </c>
      <c r="X44" s="60">
        <f t="shared" si="43"/>
        <v>3000</v>
      </c>
      <c r="Y44" s="60">
        <f t="shared" si="43"/>
        <v>3000</v>
      </c>
      <c r="Z44" s="60">
        <f t="shared" si="43"/>
        <v>3000</v>
      </c>
      <c r="AA44" s="60">
        <f t="shared" si="43"/>
        <v>3000</v>
      </c>
      <c r="AB44" s="60">
        <f t="shared" si="43"/>
        <v>3000</v>
      </c>
      <c r="AC44" s="60">
        <f t="shared" si="43"/>
        <v>3000</v>
      </c>
      <c r="AD44" s="60">
        <f t="shared" si="43"/>
        <v>3000</v>
      </c>
      <c r="AE44" s="48"/>
    </row>
    <row r="45" hidden="1">
      <c r="A45" s="41" t="s">
        <v>14</v>
      </c>
      <c r="B45" s="41" t="s">
        <v>35</v>
      </c>
      <c r="C45" s="41" t="s">
        <v>25</v>
      </c>
      <c r="D45" s="59" t="s">
        <v>90</v>
      </c>
      <c r="E45" s="60">
        <f>IFERROR(__xludf.DUMMYFUNCTION("IFERROR(SUM(FILTER(FILTER('FY22 Budget'!$F$1:$AC$71,'FY22 Budget'!$F$1:$AC$1&gt;=(E$1),'FY22 Budget'!$F$1:$AC$1&lt;(F$1)),'FY22 Budget'!$C$1:$C$71=$D45)),"""")"),0.0)</f>
        <v>0</v>
      </c>
      <c r="F45" s="60">
        <f>IFERROR(__xludf.DUMMYFUNCTION("IFERROR(SUM(FILTER(FILTER('FY22 Budget'!$F$1:$AC$71,'FY22 Budget'!$F$1:$AC$1&gt;=(F$1),'FY22 Budget'!$F$1:$AC$1&lt;(G$1)),'FY22 Budget'!$C$1:$C$71=$D45)),"""")"),0.0)</f>
        <v>0</v>
      </c>
      <c r="G45" s="60">
        <f>IFERROR(__xludf.DUMMYFUNCTION("IFERROR(SUM(FILTER(FILTER('FY22 Budget'!$F$1:$AC$71,'FY22 Budget'!$F$1:$AC$1&gt;=(G$1),'FY22 Budget'!$F$1:$AC$1&lt;(H$1)),'FY22 Budget'!$C$1:$C$71=$D45)),"""")"),6400.0)</f>
        <v>6400</v>
      </c>
      <c r="H45" s="60">
        <f>IFERROR(__xludf.DUMMYFUNCTION("IFERROR(SUM(FILTER(FILTER('FY22 Budget'!$F$1:$AC$71,'FY22 Budget'!$F$1:$AC$1&gt;=(H$1),'FY22 Budget'!$F$1:$AC$1&lt;(I$1)),'FY22 Budget'!$C$1:$C$71=$D45)),"""")"),0.0)</f>
        <v>0</v>
      </c>
      <c r="I45" s="60">
        <f>IFERROR(__xludf.DUMMYFUNCTION("IFERROR(SUM(FILTER(FILTER('FY22 Budget'!$F$1:$AC$71,'FY22 Budget'!$F$1:$AC$1&gt;=(I$1),'FY22 Budget'!$F$1:$AC$1&lt;(J$1)),'FY22 Budget'!$C$1:$C$71=$D45)),"""")"),0.0)</f>
        <v>0</v>
      </c>
      <c r="J45" s="60">
        <f>IFERROR(__xludf.DUMMYFUNCTION("IFERROR(SUM(FILTER(FILTER('FY22 Budget'!$F$1:$AC$71,'FY22 Budget'!$F$1:$AC$1&gt;=(J$1),'FY22 Budget'!$F$1:$AC$1&lt;(K$1)),'FY22 Budget'!$C$1:$C$71=$D45)),"""")"),0.0)</f>
        <v>0</v>
      </c>
      <c r="K45" s="60">
        <f>IFERROR(__xludf.DUMMYFUNCTION("IFERROR(SUM(FILTER(FILTER('FY22 Budget'!$F$1:$AC$71,'FY22 Budget'!$F$1:$AC$1&gt;=(K$1),'FY22 Budget'!$F$1:$AC$1&lt;(L$1)),'FY22 Budget'!$C$1:$C$71=$D45)),"""")"),0.0)</f>
        <v>0</v>
      </c>
      <c r="L45" s="60">
        <f>IFERROR(__xludf.DUMMYFUNCTION("IFERROR(SUM(FILTER(FILTER('FY22 Budget'!$F$1:$AC$71,'FY22 Budget'!$F$1:$AC$1&gt;=(L$1),'FY22 Budget'!$F$1:$AC$1&lt;(M$1)),'FY22 Budget'!$C$1:$C$71=$D45)),"""")"),0.0)</f>
        <v>0</v>
      </c>
      <c r="M45" s="60">
        <f>IFERROR(__xludf.DUMMYFUNCTION("IFERROR(SUM(FILTER(FILTER('FY22 Budget'!$F$1:$AC$71,'FY22 Budget'!$F$1:$AC$1&gt;=(M$1),'FY22 Budget'!$F$1:$AC$1&lt;(N$1)),'FY22 Budget'!$C$1:$C$71=$D45)),"""")"),0.0)</f>
        <v>0</v>
      </c>
      <c r="N45" s="60">
        <f>IFERROR(__xludf.DUMMYFUNCTION("IFERROR(SUM(FILTER(FILTER('FY22 Budget'!$F$1:$AC$71,'FY22 Budget'!$F$1:$AC$1&gt;=(N$1),'FY22 Budget'!$F$1:$AC$1&lt;(O$1)),'FY22 Budget'!$C$1:$C$71=$D45)),"""")"),0.0)</f>
        <v>0</v>
      </c>
      <c r="O45" s="60">
        <f>IFERROR(__xludf.DUMMYFUNCTION("IFERROR(SUM(FILTER(FILTER('FY22 Budget'!$F$1:$AC$71,'FY22 Budget'!$F$1:$AC$1&gt;=(O$1),'FY22 Budget'!$F$1:$AC$1&lt;(P$1)),'FY22 Budget'!$C$1:$C$71=$D45)),"""")"),0.0)</f>
        <v>0</v>
      </c>
      <c r="P45" s="60">
        <f>IFERROR(__xludf.DUMMYFUNCTION("IFERROR(SUM(FILTER(FILTER('FY22 Budget'!$F$1:$AC$71,'FY22 Budget'!$F$1:$AC$1&gt;=(P$1),'FY22 Budget'!$F$1:$AC$1&lt;(Q$1)),'FY22 Budget'!$C$1:$C$71=$D45)),"""")"),0.0)</f>
        <v>0</v>
      </c>
      <c r="Q45" s="48"/>
      <c r="R45" s="60"/>
      <c r="S45" s="60">
        <f t="shared" ref="S45:AD45" si="44">SUM($E45:E45)</f>
        <v>0</v>
      </c>
      <c r="T45" s="60">
        <f t="shared" si="44"/>
        <v>0</v>
      </c>
      <c r="U45" s="60">
        <f t="shared" si="44"/>
        <v>6400</v>
      </c>
      <c r="V45" s="60">
        <f t="shared" si="44"/>
        <v>6400</v>
      </c>
      <c r="W45" s="60">
        <f t="shared" si="44"/>
        <v>6400</v>
      </c>
      <c r="X45" s="60">
        <f t="shared" si="44"/>
        <v>6400</v>
      </c>
      <c r="Y45" s="60">
        <f t="shared" si="44"/>
        <v>6400</v>
      </c>
      <c r="Z45" s="60">
        <f t="shared" si="44"/>
        <v>6400</v>
      </c>
      <c r="AA45" s="60">
        <f t="shared" si="44"/>
        <v>6400</v>
      </c>
      <c r="AB45" s="60">
        <f t="shared" si="44"/>
        <v>6400</v>
      </c>
      <c r="AC45" s="60">
        <f t="shared" si="44"/>
        <v>6400</v>
      </c>
      <c r="AD45" s="60">
        <f t="shared" si="44"/>
        <v>6400</v>
      </c>
      <c r="AE45" s="48"/>
    </row>
    <row r="46" hidden="1">
      <c r="A46" s="41" t="s">
        <v>14</v>
      </c>
      <c r="B46" s="41" t="s">
        <v>35</v>
      </c>
      <c r="C46" s="41" t="s">
        <v>30</v>
      </c>
      <c r="D46" s="59" t="s">
        <v>91</v>
      </c>
      <c r="E46" s="60">
        <f>IFERROR(__xludf.DUMMYFUNCTION("IFERROR(SUM(FILTER(FILTER('FY22 Budget'!$F$1:$AC$71,'FY22 Budget'!$F$1:$AC$1&gt;=(E$1),'FY22 Budget'!$F$1:$AC$1&lt;(F$1)),'FY22 Budget'!$C$1:$C$71=$D46)),"""")"),0.0)</f>
        <v>0</v>
      </c>
      <c r="F46" s="60">
        <f>IFERROR(__xludf.DUMMYFUNCTION("IFERROR(SUM(FILTER(FILTER('FY22 Budget'!$F$1:$AC$71,'FY22 Budget'!$F$1:$AC$1&gt;=(F$1),'FY22 Budget'!$F$1:$AC$1&lt;(G$1)),'FY22 Budget'!$C$1:$C$71=$D46)),"""")"),0.0)</f>
        <v>0</v>
      </c>
      <c r="G46" s="60">
        <f>IFERROR(__xludf.DUMMYFUNCTION("IFERROR(SUM(FILTER(FILTER('FY22 Budget'!$F$1:$AC$71,'FY22 Budget'!$F$1:$AC$1&gt;=(G$1),'FY22 Budget'!$F$1:$AC$1&lt;(H$1)),'FY22 Budget'!$C$1:$C$71=$D46)),"""")"),14375.0)</f>
        <v>14375</v>
      </c>
      <c r="H46" s="60">
        <f>IFERROR(__xludf.DUMMYFUNCTION("IFERROR(SUM(FILTER(FILTER('FY22 Budget'!$F$1:$AC$71,'FY22 Budget'!$F$1:$AC$1&gt;=(H$1),'FY22 Budget'!$F$1:$AC$1&lt;(I$1)),'FY22 Budget'!$C$1:$C$71=$D46)),"""")"),0.0)</f>
        <v>0</v>
      </c>
      <c r="I46" s="60">
        <f>IFERROR(__xludf.DUMMYFUNCTION("IFERROR(SUM(FILTER(FILTER('FY22 Budget'!$F$1:$AC$71,'FY22 Budget'!$F$1:$AC$1&gt;=(I$1),'FY22 Budget'!$F$1:$AC$1&lt;(J$1)),'FY22 Budget'!$C$1:$C$71=$D46)),"""")"),0.0)</f>
        <v>0</v>
      </c>
      <c r="J46" s="60">
        <f>IFERROR(__xludf.DUMMYFUNCTION("IFERROR(SUM(FILTER(FILTER('FY22 Budget'!$F$1:$AC$71,'FY22 Budget'!$F$1:$AC$1&gt;=(J$1),'FY22 Budget'!$F$1:$AC$1&lt;(K$1)),'FY22 Budget'!$C$1:$C$71=$D46)),"""")"),0.0)</f>
        <v>0</v>
      </c>
      <c r="K46" s="60">
        <f>IFERROR(__xludf.DUMMYFUNCTION("IFERROR(SUM(FILTER(FILTER('FY22 Budget'!$F$1:$AC$71,'FY22 Budget'!$F$1:$AC$1&gt;=(K$1),'FY22 Budget'!$F$1:$AC$1&lt;(L$1)),'FY22 Budget'!$C$1:$C$71=$D46)),"""")"),0.0)</f>
        <v>0</v>
      </c>
      <c r="L46" s="60">
        <f>IFERROR(__xludf.DUMMYFUNCTION("IFERROR(SUM(FILTER(FILTER('FY22 Budget'!$F$1:$AC$71,'FY22 Budget'!$F$1:$AC$1&gt;=(L$1),'FY22 Budget'!$F$1:$AC$1&lt;(M$1)),'FY22 Budget'!$C$1:$C$71=$D46)),"""")"),0.0)</f>
        <v>0</v>
      </c>
      <c r="M46" s="60">
        <f>IFERROR(__xludf.DUMMYFUNCTION("IFERROR(SUM(FILTER(FILTER('FY22 Budget'!$F$1:$AC$71,'FY22 Budget'!$F$1:$AC$1&gt;=(M$1),'FY22 Budget'!$F$1:$AC$1&lt;(N$1)),'FY22 Budget'!$C$1:$C$71=$D46)),"""")"),0.0)</f>
        <v>0</v>
      </c>
      <c r="N46" s="60">
        <f>IFERROR(__xludf.DUMMYFUNCTION("IFERROR(SUM(FILTER(FILTER('FY22 Budget'!$F$1:$AC$71,'FY22 Budget'!$F$1:$AC$1&gt;=(N$1),'FY22 Budget'!$F$1:$AC$1&lt;(O$1)),'FY22 Budget'!$C$1:$C$71=$D46)),"""")"),0.0)</f>
        <v>0</v>
      </c>
      <c r="O46" s="60">
        <f>IFERROR(__xludf.DUMMYFUNCTION("IFERROR(SUM(FILTER(FILTER('FY22 Budget'!$F$1:$AC$71,'FY22 Budget'!$F$1:$AC$1&gt;=(O$1),'FY22 Budget'!$F$1:$AC$1&lt;(P$1)),'FY22 Budget'!$C$1:$C$71=$D46)),"""")"),0.0)</f>
        <v>0</v>
      </c>
      <c r="P46" s="60">
        <f>IFERROR(__xludf.DUMMYFUNCTION("IFERROR(SUM(FILTER(FILTER('FY22 Budget'!$F$1:$AC$71,'FY22 Budget'!$F$1:$AC$1&gt;=(P$1),'FY22 Budget'!$F$1:$AC$1&lt;(Q$1)),'FY22 Budget'!$C$1:$C$71=$D46)),"""")"),0.0)</f>
        <v>0</v>
      </c>
      <c r="Q46" s="48"/>
      <c r="R46" s="60"/>
      <c r="S46" s="60">
        <f t="shared" ref="S46:AD46" si="45">SUM($E46:E46)</f>
        <v>0</v>
      </c>
      <c r="T46" s="60">
        <f t="shared" si="45"/>
        <v>0</v>
      </c>
      <c r="U46" s="60">
        <f t="shared" si="45"/>
        <v>14375</v>
      </c>
      <c r="V46" s="60">
        <f t="shared" si="45"/>
        <v>14375</v>
      </c>
      <c r="W46" s="60">
        <f t="shared" si="45"/>
        <v>14375</v>
      </c>
      <c r="X46" s="60">
        <f t="shared" si="45"/>
        <v>14375</v>
      </c>
      <c r="Y46" s="60">
        <f t="shared" si="45"/>
        <v>14375</v>
      </c>
      <c r="Z46" s="60">
        <f t="shared" si="45"/>
        <v>14375</v>
      </c>
      <c r="AA46" s="60">
        <f t="shared" si="45"/>
        <v>14375</v>
      </c>
      <c r="AB46" s="60">
        <f t="shared" si="45"/>
        <v>14375</v>
      </c>
      <c r="AC46" s="60">
        <f t="shared" si="45"/>
        <v>14375</v>
      </c>
      <c r="AD46" s="60">
        <f t="shared" si="45"/>
        <v>14375</v>
      </c>
      <c r="AE46" s="48"/>
    </row>
    <row r="47" hidden="1">
      <c r="A47" s="41" t="s">
        <v>14</v>
      </c>
      <c r="B47" s="41" t="s">
        <v>35</v>
      </c>
      <c r="C47" s="41" t="s">
        <v>30</v>
      </c>
      <c r="D47" s="59" t="s">
        <v>92</v>
      </c>
      <c r="E47" s="60">
        <f>IFERROR(__xludf.DUMMYFUNCTION("IFERROR(SUM(FILTER(FILTER('FY22 Budget'!$F$1:$AC$71,'FY22 Budget'!$F$1:$AC$1&gt;=(E$1),'FY22 Budget'!$F$1:$AC$1&lt;(F$1)),'FY22 Budget'!$C$1:$C$71=$D47)),"""")"),833.34)</f>
        <v>833.34</v>
      </c>
      <c r="F47" s="60">
        <f>IFERROR(__xludf.DUMMYFUNCTION("IFERROR(SUM(FILTER(FILTER('FY22 Budget'!$F$1:$AC$71,'FY22 Budget'!$F$1:$AC$1&gt;=(F$1),'FY22 Budget'!$F$1:$AC$1&lt;(G$1)),'FY22 Budget'!$C$1:$C$71=$D47)),"""")"),833.34)</f>
        <v>833.34</v>
      </c>
      <c r="G47" s="60">
        <f>IFERROR(__xludf.DUMMYFUNCTION("IFERROR(SUM(FILTER(FILTER('FY22 Budget'!$F$1:$AC$71,'FY22 Budget'!$F$1:$AC$1&gt;=(G$1),'FY22 Budget'!$F$1:$AC$1&lt;(H$1)),'FY22 Budget'!$C$1:$C$71=$D47)),"""")"),833.34)</f>
        <v>833.34</v>
      </c>
      <c r="H47" s="60">
        <f>IFERROR(__xludf.DUMMYFUNCTION("IFERROR(SUM(FILTER(FILTER('FY22 Budget'!$F$1:$AC$71,'FY22 Budget'!$F$1:$AC$1&gt;=(H$1),'FY22 Budget'!$F$1:$AC$1&lt;(I$1)),'FY22 Budget'!$C$1:$C$71=$D47)),"""")"),833.34)</f>
        <v>833.34</v>
      </c>
      <c r="I47" s="60">
        <f>IFERROR(__xludf.DUMMYFUNCTION("IFERROR(SUM(FILTER(FILTER('FY22 Budget'!$F$1:$AC$71,'FY22 Budget'!$F$1:$AC$1&gt;=(I$1),'FY22 Budget'!$F$1:$AC$1&lt;(J$1)),'FY22 Budget'!$C$1:$C$71=$D47)),"""")"),833.34)</f>
        <v>833.34</v>
      </c>
      <c r="J47" s="60">
        <f>IFERROR(__xludf.DUMMYFUNCTION("IFERROR(SUM(FILTER(FILTER('FY22 Budget'!$F$1:$AC$71,'FY22 Budget'!$F$1:$AC$1&gt;=(J$1),'FY22 Budget'!$F$1:$AC$1&lt;(K$1)),'FY22 Budget'!$C$1:$C$71=$D47)),"""")"),833.34)</f>
        <v>833.34</v>
      </c>
      <c r="K47" s="60">
        <f>IFERROR(__xludf.DUMMYFUNCTION("IFERROR(SUM(FILTER(FILTER('FY22 Budget'!$F$1:$AC$71,'FY22 Budget'!$F$1:$AC$1&gt;=(K$1),'FY22 Budget'!$F$1:$AC$1&lt;(L$1)),'FY22 Budget'!$C$1:$C$71=$D47)),"""")"),833.34)</f>
        <v>833.34</v>
      </c>
      <c r="L47" s="60">
        <f>IFERROR(__xludf.DUMMYFUNCTION("IFERROR(SUM(FILTER(FILTER('FY22 Budget'!$F$1:$AC$71,'FY22 Budget'!$F$1:$AC$1&gt;=(L$1),'FY22 Budget'!$F$1:$AC$1&lt;(M$1)),'FY22 Budget'!$C$1:$C$71=$D47)),"""")"),833.34)</f>
        <v>833.34</v>
      </c>
      <c r="M47" s="60">
        <f>IFERROR(__xludf.DUMMYFUNCTION("IFERROR(SUM(FILTER(FILTER('FY22 Budget'!$F$1:$AC$71,'FY22 Budget'!$F$1:$AC$1&gt;=(M$1),'FY22 Budget'!$F$1:$AC$1&lt;(N$1)),'FY22 Budget'!$C$1:$C$71=$D47)),"""")"),3163.34)</f>
        <v>3163.34</v>
      </c>
      <c r="N47" s="60">
        <f>IFERROR(__xludf.DUMMYFUNCTION("IFERROR(SUM(FILTER(FILTER('FY22 Budget'!$F$1:$AC$71,'FY22 Budget'!$F$1:$AC$1&gt;=(N$1),'FY22 Budget'!$F$1:$AC$1&lt;(O$1)),'FY22 Budget'!$C$1:$C$71=$D47)),"""")"),833.34)</f>
        <v>833.34</v>
      </c>
      <c r="O47" s="60">
        <f>IFERROR(__xludf.DUMMYFUNCTION("IFERROR(SUM(FILTER(FILTER('FY22 Budget'!$F$1:$AC$71,'FY22 Budget'!$F$1:$AC$1&gt;=(O$1),'FY22 Budget'!$F$1:$AC$1&lt;(P$1)),'FY22 Budget'!$C$1:$C$71=$D47)),"""")"),833.34)</f>
        <v>833.34</v>
      </c>
      <c r="P47" s="60">
        <f>IFERROR(__xludf.DUMMYFUNCTION("IFERROR(SUM(FILTER(FILTER('FY22 Budget'!$F$1:$AC$71,'FY22 Budget'!$F$1:$AC$1&gt;=(P$1),'FY22 Budget'!$F$1:$AC$1&lt;(Q$1)),'FY22 Budget'!$C$1:$C$71=$D47)),"""")"),833.34)</f>
        <v>833.34</v>
      </c>
      <c r="Q47" s="48"/>
      <c r="R47" s="60"/>
      <c r="S47" s="60">
        <f t="shared" ref="S47:AD47" si="46">SUM($E47:E47)</f>
        <v>833.34</v>
      </c>
      <c r="T47" s="60">
        <f t="shared" si="46"/>
        <v>1666.68</v>
      </c>
      <c r="U47" s="60">
        <f t="shared" si="46"/>
        <v>2500.02</v>
      </c>
      <c r="V47" s="60">
        <f t="shared" si="46"/>
        <v>3333.36</v>
      </c>
      <c r="W47" s="60">
        <f t="shared" si="46"/>
        <v>4166.7</v>
      </c>
      <c r="X47" s="60">
        <f t="shared" si="46"/>
        <v>5000.04</v>
      </c>
      <c r="Y47" s="60">
        <f t="shared" si="46"/>
        <v>5833.38</v>
      </c>
      <c r="Z47" s="60">
        <f t="shared" si="46"/>
        <v>6666.72</v>
      </c>
      <c r="AA47" s="60">
        <f t="shared" si="46"/>
        <v>9830.06</v>
      </c>
      <c r="AB47" s="60">
        <f t="shared" si="46"/>
        <v>10663.4</v>
      </c>
      <c r="AC47" s="60">
        <f t="shared" si="46"/>
        <v>11496.74</v>
      </c>
      <c r="AD47" s="60">
        <f t="shared" si="46"/>
        <v>12330.08</v>
      </c>
      <c r="AE47" s="48"/>
    </row>
    <row r="48" hidden="1">
      <c r="A48" s="41" t="s">
        <v>14</v>
      </c>
      <c r="B48" s="41" t="s">
        <v>35</v>
      </c>
      <c r="C48" s="41" t="s">
        <v>30</v>
      </c>
      <c r="D48" s="59" t="s">
        <v>93</v>
      </c>
      <c r="E48" s="60">
        <f>IFERROR(__xludf.DUMMYFUNCTION("IFERROR(SUM(FILTER(FILTER('FY22 Budget'!$F$1:$AC$71,'FY22 Budget'!$F$1:$AC$1&gt;=(E$1),'FY22 Budget'!$F$1:$AC$1&lt;(F$1)),'FY22 Budget'!$C$1:$C$71=$D48)),"""")"),14768.35)</f>
        <v>14768.35</v>
      </c>
      <c r="F48" s="60">
        <f>IFERROR(__xludf.DUMMYFUNCTION("IFERROR(SUM(FILTER(FILTER('FY22 Budget'!$F$1:$AC$71,'FY22 Budget'!$F$1:$AC$1&gt;=(F$1),'FY22 Budget'!$F$1:$AC$1&lt;(G$1)),'FY22 Budget'!$C$1:$C$71=$D48)),"""")"),4816.54)</f>
        <v>4816.54</v>
      </c>
      <c r="G48" s="60">
        <f>IFERROR(__xludf.DUMMYFUNCTION("IFERROR(SUM(FILTER(FILTER('FY22 Budget'!$F$1:$AC$71,'FY22 Budget'!$F$1:$AC$1&gt;=(G$1),'FY22 Budget'!$F$1:$AC$1&lt;(H$1)),'FY22 Budget'!$C$1:$C$71=$D48)),"""")"),4816.54)</f>
        <v>4816.54</v>
      </c>
      <c r="H48" s="60">
        <f>IFERROR(__xludf.DUMMYFUNCTION("IFERROR(SUM(FILTER(FILTER('FY22 Budget'!$F$1:$AC$71,'FY22 Budget'!$F$1:$AC$1&gt;=(H$1),'FY22 Budget'!$F$1:$AC$1&lt;(I$1)),'FY22 Budget'!$C$1:$C$71=$D48)),"""")"),4816.54)</f>
        <v>4816.54</v>
      </c>
      <c r="I48" s="60">
        <f>IFERROR(__xludf.DUMMYFUNCTION("IFERROR(SUM(FILTER(FILTER('FY22 Budget'!$F$1:$AC$71,'FY22 Budget'!$F$1:$AC$1&gt;=(I$1),'FY22 Budget'!$F$1:$AC$1&lt;(J$1)),'FY22 Budget'!$C$1:$C$71=$D48)),"""")"),4816.54)</f>
        <v>4816.54</v>
      </c>
      <c r="J48" s="60">
        <f>IFERROR(__xludf.DUMMYFUNCTION("IFERROR(SUM(FILTER(FILTER('FY22 Budget'!$F$1:$AC$71,'FY22 Budget'!$F$1:$AC$1&gt;=(J$1),'FY22 Budget'!$F$1:$AC$1&lt;(K$1)),'FY22 Budget'!$C$1:$C$71=$D48)),"""")"),4816.54)</f>
        <v>4816.54</v>
      </c>
      <c r="K48" s="60">
        <f>IFERROR(__xludf.DUMMYFUNCTION("IFERROR(SUM(FILTER(FILTER('FY22 Budget'!$F$1:$AC$71,'FY22 Budget'!$F$1:$AC$1&gt;=(K$1),'FY22 Budget'!$F$1:$AC$1&lt;(L$1)),'FY22 Budget'!$C$1:$C$71=$D48)),"""")"),4816.54)</f>
        <v>4816.54</v>
      </c>
      <c r="L48" s="60">
        <f>IFERROR(__xludf.DUMMYFUNCTION("IFERROR(SUM(FILTER(FILTER('FY22 Budget'!$F$1:$AC$71,'FY22 Budget'!$F$1:$AC$1&gt;=(L$1),'FY22 Budget'!$F$1:$AC$1&lt;(M$1)),'FY22 Budget'!$C$1:$C$71=$D48)),"""")"),4816.54)</f>
        <v>4816.54</v>
      </c>
      <c r="M48" s="60">
        <f>IFERROR(__xludf.DUMMYFUNCTION("IFERROR(SUM(FILTER(FILTER('FY22 Budget'!$F$1:$AC$71,'FY22 Budget'!$F$1:$AC$1&gt;=(M$1),'FY22 Budget'!$F$1:$AC$1&lt;(N$1)),'FY22 Budget'!$C$1:$C$71=$D48)),"""")"),4816.54)</f>
        <v>4816.54</v>
      </c>
      <c r="N48" s="60">
        <f>IFERROR(__xludf.DUMMYFUNCTION("IFERROR(SUM(FILTER(FILTER('FY22 Budget'!$F$1:$AC$71,'FY22 Budget'!$F$1:$AC$1&gt;=(N$1),'FY22 Budget'!$F$1:$AC$1&lt;(O$1)),'FY22 Budget'!$C$1:$C$71=$D48)),"""")"),4816.54)</f>
        <v>4816.54</v>
      </c>
      <c r="O48" s="60">
        <f>IFERROR(__xludf.DUMMYFUNCTION("IFERROR(SUM(FILTER(FILTER('FY22 Budget'!$F$1:$AC$71,'FY22 Budget'!$F$1:$AC$1&gt;=(O$1),'FY22 Budget'!$F$1:$AC$1&lt;(P$1)),'FY22 Budget'!$C$1:$C$71=$D48)),"""")"),4816.54)</f>
        <v>4816.54</v>
      </c>
      <c r="P48" s="60">
        <f>IFERROR(__xludf.DUMMYFUNCTION("IFERROR(SUM(FILTER(FILTER('FY22 Budget'!$F$1:$AC$71,'FY22 Budget'!$F$1:$AC$1&gt;=(P$1),'FY22 Budget'!$F$1:$AC$1&lt;(Q$1)),'FY22 Budget'!$C$1:$C$71=$D48)),"""")"),4816.54)</f>
        <v>4816.54</v>
      </c>
      <c r="Q48" s="48"/>
      <c r="R48" s="60"/>
      <c r="S48" s="60">
        <f t="shared" ref="S48:AD48" si="47">SUM($E48:E48)</f>
        <v>14768.35</v>
      </c>
      <c r="T48" s="60">
        <f t="shared" si="47"/>
        <v>19584.89</v>
      </c>
      <c r="U48" s="60">
        <f t="shared" si="47"/>
        <v>24401.43</v>
      </c>
      <c r="V48" s="60">
        <f t="shared" si="47"/>
        <v>29217.97</v>
      </c>
      <c r="W48" s="60">
        <f t="shared" si="47"/>
        <v>34034.51</v>
      </c>
      <c r="X48" s="60">
        <f t="shared" si="47"/>
        <v>38851.05</v>
      </c>
      <c r="Y48" s="60">
        <f t="shared" si="47"/>
        <v>43667.59</v>
      </c>
      <c r="Z48" s="60">
        <f t="shared" si="47"/>
        <v>48484.13</v>
      </c>
      <c r="AA48" s="60">
        <f t="shared" si="47"/>
        <v>53300.67</v>
      </c>
      <c r="AB48" s="60">
        <f t="shared" si="47"/>
        <v>58117.21</v>
      </c>
      <c r="AC48" s="60">
        <f t="shared" si="47"/>
        <v>62933.75</v>
      </c>
      <c r="AD48" s="60">
        <f t="shared" si="47"/>
        <v>67750.29</v>
      </c>
      <c r="AE48" s="48"/>
    </row>
    <row r="49" hidden="1">
      <c r="A49" s="41" t="s">
        <v>14</v>
      </c>
      <c r="B49" s="41" t="s">
        <v>35</v>
      </c>
      <c r="C49" s="41" t="s">
        <v>30</v>
      </c>
      <c r="D49" s="59" t="s">
        <v>94</v>
      </c>
      <c r="E49" s="60">
        <f>IFERROR(__xludf.DUMMYFUNCTION("IFERROR(SUM(FILTER(FILTER('FY22 Budget'!$F$1:$AC$71,'FY22 Budget'!$F$1:$AC$1&gt;=(E$1),'FY22 Budget'!$F$1:$AC$1&lt;(F$1)),'FY22 Budget'!$C$1:$C$71=$D49)),"""")"),1666.67)</f>
        <v>1666.67</v>
      </c>
      <c r="F49" s="60">
        <f>IFERROR(__xludf.DUMMYFUNCTION("IFERROR(SUM(FILTER(FILTER('FY22 Budget'!$F$1:$AC$71,'FY22 Budget'!$F$1:$AC$1&gt;=(F$1),'FY22 Budget'!$F$1:$AC$1&lt;(G$1)),'FY22 Budget'!$C$1:$C$71=$D49)),"""")"),1666.67)</f>
        <v>1666.67</v>
      </c>
      <c r="G49" s="60">
        <f>IFERROR(__xludf.DUMMYFUNCTION("IFERROR(SUM(FILTER(FILTER('FY22 Budget'!$F$1:$AC$71,'FY22 Budget'!$F$1:$AC$1&gt;=(G$1),'FY22 Budget'!$F$1:$AC$1&lt;(H$1)),'FY22 Budget'!$C$1:$C$71=$D49)),"""")"),1666.67)</f>
        <v>1666.67</v>
      </c>
      <c r="H49" s="60">
        <f>IFERROR(__xludf.DUMMYFUNCTION("IFERROR(SUM(FILTER(FILTER('FY22 Budget'!$F$1:$AC$71,'FY22 Budget'!$F$1:$AC$1&gt;=(H$1),'FY22 Budget'!$F$1:$AC$1&lt;(I$1)),'FY22 Budget'!$C$1:$C$71=$D49)),"""")"),1666.67)</f>
        <v>1666.67</v>
      </c>
      <c r="I49" s="60">
        <f>IFERROR(__xludf.DUMMYFUNCTION("IFERROR(SUM(FILTER(FILTER('FY22 Budget'!$F$1:$AC$71,'FY22 Budget'!$F$1:$AC$1&gt;=(I$1),'FY22 Budget'!$F$1:$AC$1&lt;(J$1)),'FY22 Budget'!$C$1:$C$71=$D49)),"""")"),1666.67)</f>
        <v>1666.67</v>
      </c>
      <c r="J49" s="60">
        <f>IFERROR(__xludf.DUMMYFUNCTION("IFERROR(SUM(FILTER(FILTER('FY22 Budget'!$F$1:$AC$71,'FY22 Budget'!$F$1:$AC$1&gt;=(J$1),'FY22 Budget'!$F$1:$AC$1&lt;(K$1)),'FY22 Budget'!$C$1:$C$71=$D49)),"""")"),1666.67)</f>
        <v>1666.67</v>
      </c>
      <c r="K49" s="60">
        <f>IFERROR(__xludf.DUMMYFUNCTION("IFERROR(SUM(FILTER(FILTER('FY22 Budget'!$F$1:$AC$71,'FY22 Budget'!$F$1:$AC$1&gt;=(K$1),'FY22 Budget'!$F$1:$AC$1&lt;(L$1)),'FY22 Budget'!$C$1:$C$71=$D49)),"""")"),1666.67)</f>
        <v>1666.67</v>
      </c>
      <c r="L49" s="60">
        <f>IFERROR(__xludf.DUMMYFUNCTION("IFERROR(SUM(FILTER(FILTER('FY22 Budget'!$F$1:$AC$71,'FY22 Budget'!$F$1:$AC$1&gt;=(L$1),'FY22 Budget'!$F$1:$AC$1&lt;(M$1)),'FY22 Budget'!$C$1:$C$71=$D49)),"""")"),1666.67)</f>
        <v>1666.67</v>
      </c>
      <c r="M49" s="60">
        <f>IFERROR(__xludf.DUMMYFUNCTION("IFERROR(SUM(FILTER(FILTER('FY22 Budget'!$F$1:$AC$71,'FY22 Budget'!$F$1:$AC$1&gt;=(M$1),'FY22 Budget'!$F$1:$AC$1&lt;(N$1)),'FY22 Budget'!$C$1:$C$71=$D49)),"""")"),1666.67)</f>
        <v>1666.67</v>
      </c>
      <c r="N49" s="60">
        <f>IFERROR(__xludf.DUMMYFUNCTION("IFERROR(SUM(FILTER(FILTER('FY22 Budget'!$F$1:$AC$71,'FY22 Budget'!$F$1:$AC$1&gt;=(N$1),'FY22 Budget'!$F$1:$AC$1&lt;(O$1)),'FY22 Budget'!$C$1:$C$71=$D49)),"""")"),1666.67)</f>
        <v>1666.67</v>
      </c>
      <c r="O49" s="60">
        <f>IFERROR(__xludf.DUMMYFUNCTION("IFERROR(SUM(FILTER(FILTER('FY22 Budget'!$F$1:$AC$71,'FY22 Budget'!$F$1:$AC$1&gt;=(O$1),'FY22 Budget'!$F$1:$AC$1&lt;(P$1)),'FY22 Budget'!$C$1:$C$71=$D49)),"""")"),1666.67)</f>
        <v>1666.67</v>
      </c>
      <c r="P49" s="60">
        <f>IFERROR(__xludf.DUMMYFUNCTION("IFERROR(SUM(FILTER(FILTER('FY22 Budget'!$F$1:$AC$71,'FY22 Budget'!$F$1:$AC$1&gt;=(P$1),'FY22 Budget'!$F$1:$AC$1&lt;(Q$1)),'FY22 Budget'!$C$1:$C$71=$D49)),"""")"),1666.67)</f>
        <v>1666.67</v>
      </c>
      <c r="Q49" s="48"/>
      <c r="R49" s="60"/>
      <c r="S49" s="60">
        <f t="shared" ref="S49:AD49" si="48">SUM($E49:E49)</f>
        <v>1666.67</v>
      </c>
      <c r="T49" s="60">
        <f t="shared" si="48"/>
        <v>3333.34</v>
      </c>
      <c r="U49" s="60">
        <f t="shared" si="48"/>
        <v>5000.01</v>
      </c>
      <c r="V49" s="60">
        <f t="shared" si="48"/>
        <v>6666.68</v>
      </c>
      <c r="W49" s="60">
        <f t="shared" si="48"/>
        <v>8333.35</v>
      </c>
      <c r="X49" s="60">
        <f t="shared" si="48"/>
        <v>10000.02</v>
      </c>
      <c r="Y49" s="60">
        <f t="shared" si="48"/>
        <v>11666.69</v>
      </c>
      <c r="Z49" s="60">
        <f t="shared" si="48"/>
        <v>13333.36</v>
      </c>
      <c r="AA49" s="60">
        <f t="shared" si="48"/>
        <v>15000.03</v>
      </c>
      <c r="AB49" s="60">
        <f t="shared" si="48"/>
        <v>16666.7</v>
      </c>
      <c r="AC49" s="60">
        <f t="shared" si="48"/>
        <v>18333.37</v>
      </c>
      <c r="AD49" s="60">
        <f t="shared" si="48"/>
        <v>20000.04</v>
      </c>
      <c r="AE49" s="48"/>
    </row>
    <row r="50" hidden="1">
      <c r="A50" s="41" t="s">
        <v>14</v>
      </c>
      <c r="B50" s="41" t="s">
        <v>35</v>
      </c>
      <c r="C50" s="41" t="s">
        <v>30</v>
      </c>
      <c r="D50" s="59" t="s">
        <v>95</v>
      </c>
      <c r="E50" s="60">
        <f>IFERROR(__xludf.DUMMYFUNCTION("IFERROR(SUM(FILTER(FILTER('FY22 Budget'!$F$1:$AC$71,'FY22 Budget'!$F$1:$AC$1&gt;=(E$1),'FY22 Budget'!$F$1:$AC$1&lt;(F$1)),'FY22 Budget'!$C$1:$C$71=$D50)),"""")"),40258.49)</f>
        <v>40258.49</v>
      </c>
      <c r="F50" s="60">
        <f>IFERROR(__xludf.DUMMYFUNCTION("IFERROR(SUM(FILTER(FILTER('FY22 Budget'!$F$1:$AC$71,'FY22 Budget'!$F$1:$AC$1&gt;=(F$1),'FY22 Budget'!$F$1:$AC$1&lt;(G$1)),'FY22 Budget'!$C$1:$C$71=$D50)),"""")"),40258.49)</f>
        <v>40258.49</v>
      </c>
      <c r="G50" s="60">
        <f>IFERROR(__xludf.DUMMYFUNCTION("IFERROR(SUM(FILTER(FILTER('FY22 Budget'!$F$1:$AC$71,'FY22 Budget'!$F$1:$AC$1&gt;=(G$1),'FY22 Budget'!$F$1:$AC$1&lt;(H$1)),'FY22 Budget'!$C$1:$C$71=$D50)),"""")"),40258.49)</f>
        <v>40258.49</v>
      </c>
      <c r="H50" s="60">
        <f>IFERROR(__xludf.DUMMYFUNCTION("IFERROR(SUM(FILTER(FILTER('FY22 Budget'!$F$1:$AC$71,'FY22 Budget'!$F$1:$AC$1&gt;=(H$1),'FY22 Budget'!$F$1:$AC$1&lt;(I$1)),'FY22 Budget'!$C$1:$C$71=$D50)),"""")"),40258.49)</f>
        <v>40258.49</v>
      </c>
      <c r="I50" s="60">
        <f>IFERROR(__xludf.DUMMYFUNCTION("IFERROR(SUM(FILTER(FILTER('FY22 Budget'!$F$1:$AC$71,'FY22 Budget'!$F$1:$AC$1&gt;=(I$1),'FY22 Budget'!$F$1:$AC$1&lt;(J$1)),'FY22 Budget'!$C$1:$C$71=$D50)),"""")"),40258.49)</f>
        <v>40258.49</v>
      </c>
      <c r="J50" s="60">
        <f>IFERROR(__xludf.DUMMYFUNCTION("IFERROR(SUM(FILTER(FILTER('FY22 Budget'!$F$1:$AC$71,'FY22 Budget'!$F$1:$AC$1&gt;=(J$1),'FY22 Budget'!$F$1:$AC$1&lt;(K$1)),'FY22 Budget'!$C$1:$C$71=$D50)),"""")"),40258.49)</f>
        <v>40258.49</v>
      </c>
      <c r="K50" s="60">
        <f>IFERROR(__xludf.DUMMYFUNCTION("IFERROR(SUM(FILTER(FILTER('FY22 Budget'!$F$1:$AC$71,'FY22 Budget'!$F$1:$AC$1&gt;=(K$1),'FY22 Budget'!$F$1:$AC$1&lt;(L$1)),'FY22 Budget'!$C$1:$C$71=$D50)),"""")"),40258.49)</f>
        <v>40258.49</v>
      </c>
      <c r="L50" s="60">
        <f>IFERROR(__xludf.DUMMYFUNCTION("IFERROR(SUM(FILTER(FILTER('FY22 Budget'!$F$1:$AC$71,'FY22 Budget'!$F$1:$AC$1&gt;=(L$1),'FY22 Budget'!$F$1:$AC$1&lt;(M$1)),'FY22 Budget'!$C$1:$C$71=$D50)),"""")"),40258.49)</f>
        <v>40258.49</v>
      </c>
      <c r="M50" s="60">
        <f>IFERROR(__xludf.DUMMYFUNCTION("IFERROR(SUM(FILTER(FILTER('FY22 Budget'!$F$1:$AC$71,'FY22 Budget'!$F$1:$AC$1&gt;=(M$1),'FY22 Budget'!$F$1:$AC$1&lt;(N$1)),'FY22 Budget'!$C$1:$C$71=$D50)),"""")"),40258.49)</f>
        <v>40258.49</v>
      </c>
      <c r="N50" s="60">
        <f>IFERROR(__xludf.DUMMYFUNCTION("IFERROR(SUM(FILTER(FILTER('FY22 Budget'!$F$1:$AC$71,'FY22 Budget'!$F$1:$AC$1&gt;=(N$1),'FY22 Budget'!$F$1:$AC$1&lt;(O$1)),'FY22 Budget'!$C$1:$C$71=$D50)),"""")"),40258.49)</f>
        <v>40258.49</v>
      </c>
      <c r="O50" s="60">
        <f>IFERROR(__xludf.DUMMYFUNCTION("IFERROR(SUM(FILTER(FILTER('FY22 Budget'!$F$1:$AC$71,'FY22 Budget'!$F$1:$AC$1&gt;=(O$1),'FY22 Budget'!$F$1:$AC$1&lt;(P$1)),'FY22 Budget'!$C$1:$C$71=$D50)),"""")"),40258.49)</f>
        <v>40258.49</v>
      </c>
      <c r="P50" s="60">
        <f>IFERROR(__xludf.DUMMYFUNCTION("IFERROR(SUM(FILTER(FILTER('FY22 Budget'!$F$1:$AC$71,'FY22 Budget'!$F$1:$AC$1&gt;=(P$1),'FY22 Budget'!$F$1:$AC$1&lt;(Q$1)),'FY22 Budget'!$C$1:$C$71=$D50)),"""")"),40258.49)</f>
        <v>40258.49</v>
      </c>
      <c r="Q50" s="48"/>
      <c r="R50" s="60"/>
      <c r="S50" s="60">
        <f t="shared" ref="S50:AD50" si="49">SUM($E50:E50)</f>
        <v>40258.49</v>
      </c>
      <c r="T50" s="60">
        <f t="shared" si="49"/>
        <v>80516.98</v>
      </c>
      <c r="U50" s="60">
        <f t="shared" si="49"/>
        <v>120775.47</v>
      </c>
      <c r="V50" s="60">
        <f t="shared" si="49"/>
        <v>161033.96</v>
      </c>
      <c r="W50" s="60">
        <f t="shared" si="49"/>
        <v>201292.45</v>
      </c>
      <c r="X50" s="60">
        <f t="shared" si="49"/>
        <v>241550.94</v>
      </c>
      <c r="Y50" s="60">
        <f t="shared" si="49"/>
        <v>281809.43</v>
      </c>
      <c r="Z50" s="60">
        <f t="shared" si="49"/>
        <v>322067.92</v>
      </c>
      <c r="AA50" s="60">
        <f t="shared" si="49"/>
        <v>362326.41</v>
      </c>
      <c r="AB50" s="60">
        <f t="shared" si="49"/>
        <v>402584.9</v>
      </c>
      <c r="AC50" s="60">
        <f t="shared" si="49"/>
        <v>442843.39</v>
      </c>
      <c r="AD50" s="60">
        <f t="shared" si="49"/>
        <v>483101.88</v>
      </c>
      <c r="AE50" s="48"/>
    </row>
    <row r="51" hidden="1">
      <c r="A51" s="41" t="s">
        <v>14</v>
      </c>
      <c r="B51" s="41" t="s">
        <v>35</v>
      </c>
      <c r="C51" s="41" t="s">
        <v>30</v>
      </c>
      <c r="D51" s="59" t="s">
        <v>96</v>
      </c>
      <c r="E51" s="60">
        <f>IFERROR(__xludf.DUMMYFUNCTION("IFERROR(SUM(FILTER(FILTER('FY22 Budget'!$F$1:$AC$71,'FY22 Budget'!$F$1:$AC$1&gt;=(E$1),'FY22 Budget'!$F$1:$AC$1&lt;(F$1)),'FY22 Budget'!$C$1:$C$71=$D51)),"""")"),0.0)</f>
        <v>0</v>
      </c>
      <c r="F51" s="60">
        <f>IFERROR(__xludf.DUMMYFUNCTION("IFERROR(SUM(FILTER(FILTER('FY22 Budget'!$F$1:$AC$71,'FY22 Budget'!$F$1:$AC$1&gt;=(F$1),'FY22 Budget'!$F$1:$AC$1&lt;(G$1)),'FY22 Budget'!$C$1:$C$71=$D51)),"""")"),0.0)</f>
        <v>0</v>
      </c>
      <c r="G51" s="60">
        <f>IFERROR(__xludf.DUMMYFUNCTION("IFERROR(SUM(FILTER(FILTER('FY22 Budget'!$F$1:$AC$71,'FY22 Budget'!$F$1:$AC$1&gt;=(G$1),'FY22 Budget'!$F$1:$AC$1&lt;(H$1)),'FY22 Budget'!$C$1:$C$71=$D51)),"""")"),0.0)</f>
        <v>0</v>
      </c>
      <c r="H51" s="60">
        <f>IFERROR(__xludf.DUMMYFUNCTION("IFERROR(SUM(FILTER(FILTER('FY22 Budget'!$F$1:$AC$71,'FY22 Budget'!$F$1:$AC$1&gt;=(H$1),'FY22 Budget'!$F$1:$AC$1&lt;(I$1)),'FY22 Budget'!$C$1:$C$71=$D51)),"""")"),0.0)</f>
        <v>0</v>
      </c>
      <c r="I51" s="60">
        <f>IFERROR(__xludf.DUMMYFUNCTION("IFERROR(SUM(FILTER(FILTER('FY22 Budget'!$F$1:$AC$71,'FY22 Budget'!$F$1:$AC$1&gt;=(I$1),'FY22 Budget'!$F$1:$AC$1&lt;(J$1)),'FY22 Budget'!$C$1:$C$71=$D51)),"""")"),4620.0)</f>
        <v>4620</v>
      </c>
      <c r="J51" s="60">
        <f>IFERROR(__xludf.DUMMYFUNCTION("IFERROR(SUM(FILTER(FILTER('FY22 Budget'!$F$1:$AC$71,'FY22 Budget'!$F$1:$AC$1&gt;=(J$1),'FY22 Budget'!$F$1:$AC$1&lt;(K$1)),'FY22 Budget'!$C$1:$C$71=$D51)),"""")"),0.0)</f>
        <v>0</v>
      </c>
      <c r="K51" s="60">
        <f>IFERROR(__xludf.DUMMYFUNCTION("IFERROR(SUM(FILTER(FILTER('FY22 Budget'!$F$1:$AC$71,'FY22 Budget'!$F$1:$AC$1&gt;=(K$1),'FY22 Budget'!$F$1:$AC$1&lt;(L$1)),'FY22 Budget'!$C$1:$C$71=$D51)),"""")"),0.0)</f>
        <v>0</v>
      </c>
      <c r="L51" s="60">
        <f>IFERROR(__xludf.DUMMYFUNCTION("IFERROR(SUM(FILTER(FILTER('FY22 Budget'!$F$1:$AC$71,'FY22 Budget'!$F$1:$AC$1&gt;=(L$1),'FY22 Budget'!$F$1:$AC$1&lt;(M$1)),'FY22 Budget'!$C$1:$C$71=$D51)),"""")"),0.0)</f>
        <v>0</v>
      </c>
      <c r="M51" s="60">
        <f>IFERROR(__xludf.DUMMYFUNCTION("IFERROR(SUM(FILTER(FILTER('FY22 Budget'!$F$1:$AC$71,'FY22 Budget'!$F$1:$AC$1&gt;=(M$1),'FY22 Budget'!$F$1:$AC$1&lt;(N$1)),'FY22 Budget'!$C$1:$C$71=$D51)),"""")"),0.0)</f>
        <v>0</v>
      </c>
      <c r="N51" s="60">
        <f>IFERROR(__xludf.DUMMYFUNCTION("IFERROR(SUM(FILTER(FILTER('FY22 Budget'!$F$1:$AC$71,'FY22 Budget'!$F$1:$AC$1&gt;=(N$1),'FY22 Budget'!$F$1:$AC$1&lt;(O$1)),'FY22 Budget'!$C$1:$C$71=$D51)),"""")"),0.0)</f>
        <v>0</v>
      </c>
      <c r="O51" s="60">
        <f>IFERROR(__xludf.DUMMYFUNCTION("IFERROR(SUM(FILTER(FILTER('FY22 Budget'!$F$1:$AC$71,'FY22 Budget'!$F$1:$AC$1&gt;=(O$1),'FY22 Budget'!$F$1:$AC$1&lt;(P$1)),'FY22 Budget'!$C$1:$C$71=$D51)),"""")"),0.0)</f>
        <v>0</v>
      </c>
      <c r="P51" s="60">
        <f>IFERROR(__xludf.DUMMYFUNCTION("IFERROR(SUM(FILTER(FILTER('FY22 Budget'!$F$1:$AC$71,'FY22 Budget'!$F$1:$AC$1&gt;=(P$1),'FY22 Budget'!$F$1:$AC$1&lt;(Q$1)),'FY22 Budget'!$C$1:$C$71=$D51)),"""")"),0.0)</f>
        <v>0</v>
      </c>
      <c r="Q51" s="48"/>
      <c r="R51" s="60"/>
      <c r="S51" s="60">
        <f t="shared" ref="S51:AD51" si="50">SUM($E51:E51)</f>
        <v>0</v>
      </c>
      <c r="T51" s="60">
        <f t="shared" si="50"/>
        <v>0</v>
      </c>
      <c r="U51" s="60">
        <f t="shared" si="50"/>
        <v>0</v>
      </c>
      <c r="V51" s="60">
        <f t="shared" si="50"/>
        <v>0</v>
      </c>
      <c r="W51" s="60">
        <f t="shared" si="50"/>
        <v>4620</v>
      </c>
      <c r="X51" s="60">
        <f t="shared" si="50"/>
        <v>4620</v>
      </c>
      <c r="Y51" s="60">
        <f t="shared" si="50"/>
        <v>4620</v>
      </c>
      <c r="Z51" s="60">
        <f t="shared" si="50"/>
        <v>4620</v>
      </c>
      <c r="AA51" s="60">
        <f t="shared" si="50"/>
        <v>4620</v>
      </c>
      <c r="AB51" s="60">
        <f t="shared" si="50"/>
        <v>4620</v>
      </c>
      <c r="AC51" s="60">
        <f t="shared" si="50"/>
        <v>4620</v>
      </c>
      <c r="AD51" s="60">
        <f t="shared" si="50"/>
        <v>4620</v>
      </c>
      <c r="AE51" s="48"/>
    </row>
    <row r="52" hidden="1">
      <c r="A52" s="41" t="s">
        <v>14</v>
      </c>
      <c r="B52" s="41" t="s">
        <v>35</v>
      </c>
      <c r="C52" s="41" t="s">
        <v>30</v>
      </c>
      <c r="D52" s="59" t="s">
        <v>97</v>
      </c>
      <c r="E52" s="60">
        <f>IFERROR(__xludf.DUMMYFUNCTION("IFERROR(SUM(FILTER(FILTER('FY22 Budget'!$F$1:$AC$71,'FY22 Budget'!$F$1:$AC$1&gt;=(E$1),'FY22 Budget'!$F$1:$AC$1&lt;(F$1)),'FY22 Budget'!$C$1:$C$71=$D52)),"""")"),0.0)</f>
        <v>0</v>
      </c>
      <c r="F52" s="60">
        <f>IFERROR(__xludf.DUMMYFUNCTION("IFERROR(SUM(FILTER(FILTER('FY22 Budget'!$F$1:$AC$71,'FY22 Budget'!$F$1:$AC$1&gt;=(F$1),'FY22 Budget'!$F$1:$AC$1&lt;(G$1)),'FY22 Budget'!$C$1:$C$71=$D52)),"""")"),2300.0)</f>
        <v>2300</v>
      </c>
      <c r="G52" s="60">
        <f>IFERROR(__xludf.DUMMYFUNCTION("IFERROR(SUM(FILTER(FILTER('FY22 Budget'!$F$1:$AC$71,'FY22 Budget'!$F$1:$AC$1&gt;=(G$1),'FY22 Budget'!$F$1:$AC$1&lt;(H$1)),'FY22 Budget'!$C$1:$C$71=$D52)),"""")"),0.0)</f>
        <v>0</v>
      </c>
      <c r="H52" s="60">
        <f>IFERROR(__xludf.DUMMYFUNCTION("IFERROR(SUM(FILTER(FILTER('FY22 Budget'!$F$1:$AC$71,'FY22 Budget'!$F$1:$AC$1&gt;=(H$1),'FY22 Budget'!$F$1:$AC$1&lt;(I$1)),'FY22 Budget'!$C$1:$C$71=$D52)),"""")"),0.0)</f>
        <v>0</v>
      </c>
      <c r="I52" s="60">
        <f>IFERROR(__xludf.DUMMYFUNCTION("IFERROR(SUM(FILTER(FILTER('FY22 Budget'!$F$1:$AC$71,'FY22 Budget'!$F$1:$AC$1&gt;=(I$1),'FY22 Budget'!$F$1:$AC$1&lt;(J$1)),'FY22 Budget'!$C$1:$C$71=$D52)),"""")"),0.0)</f>
        <v>0</v>
      </c>
      <c r="J52" s="60">
        <f>IFERROR(__xludf.DUMMYFUNCTION("IFERROR(SUM(FILTER(FILTER('FY22 Budget'!$F$1:$AC$71,'FY22 Budget'!$F$1:$AC$1&gt;=(J$1),'FY22 Budget'!$F$1:$AC$1&lt;(K$1)),'FY22 Budget'!$C$1:$C$71=$D52)),"""")"),0.0)</f>
        <v>0</v>
      </c>
      <c r="K52" s="60">
        <f>IFERROR(__xludf.DUMMYFUNCTION("IFERROR(SUM(FILTER(FILTER('FY22 Budget'!$F$1:$AC$71,'FY22 Budget'!$F$1:$AC$1&gt;=(K$1),'FY22 Budget'!$F$1:$AC$1&lt;(L$1)),'FY22 Budget'!$C$1:$C$71=$D52)),"""")"),0.0)</f>
        <v>0</v>
      </c>
      <c r="L52" s="60">
        <f>IFERROR(__xludf.DUMMYFUNCTION("IFERROR(SUM(FILTER(FILTER('FY22 Budget'!$F$1:$AC$71,'FY22 Budget'!$F$1:$AC$1&gt;=(L$1),'FY22 Budget'!$F$1:$AC$1&lt;(M$1)),'FY22 Budget'!$C$1:$C$71=$D52)),"""")"),0.0)</f>
        <v>0</v>
      </c>
      <c r="M52" s="60">
        <f>IFERROR(__xludf.DUMMYFUNCTION("IFERROR(SUM(FILTER(FILTER('FY22 Budget'!$F$1:$AC$71,'FY22 Budget'!$F$1:$AC$1&gt;=(M$1),'FY22 Budget'!$F$1:$AC$1&lt;(N$1)),'FY22 Budget'!$C$1:$C$71=$D52)),"""")"),0.0)</f>
        <v>0</v>
      </c>
      <c r="N52" s="60">
        <f>IFERROR(__xludf.DUMMYFUNCTION("IFERROR(SUM(FILTER(FILTER('FY22 Budget'!$F$1:$AC$71,'FY22 Budget'!$F$1:$AC$1&gt;=(N$1),'FY22 Budget'!$F$1:$AC$1&lt;(O$1)),'FY22 Budget'!$C$1:$C$71=$D52)),"""")"),0.0)</f>
        <v>0</v>
      </c>
      <c r="O52" s="60">
        <f>IFERROR(__xludf.DUMMYFUNCTION("IFERROR(SUM(FILTER(FILTER('FY22 Budget'!$F$1:$AC$71,'FY22 Budget'!$F$1:$AC$1&gt;=(O$1),'FY22 Budget'!$F$1:$AC$1&lt;(P$1)),'FY22 Budget'!$C$1:$C$71=$D52)),"""")"),6756.16)</f>
        <v>6756.16</v>
      </c>
      <c r="P52" s="60">
        <f>IFERROR(__xludf.DUMMYFUNCTION("IFERROR(SUM(FILTER(FILTER('FY22 Budget'!$F$1:$AC$71,'FY22 Budget'!$F$1:$AC$1&gt;=(P$1),'FY22 Budget'!$F$1:$AC$1&lt;(Q$1)),'FY22 Budget'!$C$1:$C$71=$D52)),"""")"),4250.0)</f>
        <v>4250</v>
      </c>
      <c r="Q52" s="48"/>
      <c r="R52" s="60"/>
      <c r="S52" s="60">
        <f t="shared" ref="S52:AD52" si="51">SUM($E52:E52)</f>
        <v>0</v>
      </c>
      <c r="T52" s="60">
        <f t="shared" si="51"/>
        <v>2300</v>
      </c>
      <c r="U52" s="60">
        <f t="shared" si="51"/>
        <v>2300</v>
      </c>
      <c r="V52" s="60">
        <f t="shared" si="51"/>
        <v>2300</v>
      </c>
      <c r="W52" s="60">
        <f t="shared" si="51"/>
        <v>2300</v>
      </c>
      <c r="X52" s="60">
        <f t="shared" si="51"/>
        <v>2300</v>
      </c>
      <c r="Y52" s="60">
        <f t="shared" si="51"/>
        <v>2300</v>
      </c>
      <c r="Z52" s="60">
        <f t="shared" si="51"/>
        <v>2300</v>
      </c>
      <c r="AA52" s="60">
        <f t="shared" si="51"/>
        <v>2300</v>
      </c>
      <c r="AB52" s="60">
        <f t="shared" si="51"/>
        <v>2300</v>
      </c>
      <c r="AC52" s="60">
        <f t="shared" si="51"/>
        <v>9056.16</v>
      </c>
      <c r="AD52" s="60">
        <f t="shared" si="51"/>
        <v>13306.16</v>
      </c>
      <c r="AE52" s="48"/>
    </row>
    <row r="53" hidden="1">
      <c r="A53" s="41" t="s">
        <v>14</v>
      </c>
      <c r="B53" s="41" t="s">
        <v>35</v>
      </c>
      <c r="C53" s="41" t="s">
        <v>25</v>
      </c>
      <c r="D53" s="59" t="s">
        <v>98</v>
      </c>
      <c r="E53" s="60">
        <f>IFERROR(__xludf.DUMMYFUNCTION("IFERROR(SUM(FILTER(FILTER('FY22 Budget'!$F$1:$AC$71,'FY22 Budget'!$F$1:$AC$1&gt;=(E$1),'FY22 Budget'!$F$1:$AC$1&lt;(F$1)),'FY22 Budget'!$C$1:$C$71=$D53)),"""")"),0.0)</f>
        <v>0</v>
      </c>
      <c r="F53" s="60">
        <f>IFERROR(__xludf.DUMMYFUNCTION("IFERROR(SUM(FILTER(FILTER('FY22 Budget'!$F$1:$AC$71,'FY22 Budget'!$F$1:$AC$1&gt;=(F$1),'FY22 Budget'!$F$1:$AC$1&lt;(G$1)),'FY22 Budget'!$C$1:$C$71=$D53)),"""")"),601.0)</f>
        <v>601</v>
      </c>
      <c r="G53" s="60">
        <f>IFERROR(__xludf.DUMMYFUNCTION("IFERROR(SUM(FILTER(FILTER('FY22 Budget'!$F$1:$AC$71,'FY22 Budget'!$F$1:$AC$1&gt;=(G$1),'FY22 Budget'!$F$1:$AC$1&lt;(H$1)),'FY22 Budget'!$C$1:$C$71=$D53)),"""")"),135.0)</f>
        <v>135</v>
      </c>
      <c r="H53" s="60">
        <f>IFERROR(__xludf.DUMMYFUNCTION("IFERROR(SUM(FILTER(FILTER('FY22 Budget'!$F$1:$AC$71,'FY22 Budget'!$F$1:$AC$1&gt;=(H$1),'FY22 Budget'!$F$1:$AC$1&lt;(I$1)),'FY22 Budget'!$C$1:$C$71=$D53)),"""")"),135.0)</f>
        <v>135</v>
      </c>
      <c r="I53" s="60">
        <f>IFERROR(__xludf.DUMMYFUNCTION("IFERROR(SUM(FILTER(FILTER('FY22 Budget'!$F$1:$AC$71,'FY22 Budget'!$F$1:$AC$1&gt;=(I$1),'FY22 Budget'!$F$1:$AC$1&lt;(J$1)),'FY22 Budget'!$C$1:$C$71=$D53)),"""")"),605.0)</f>
        <v>605</v>
      </c>
      <c r="J53" s="60">
        <f>IFERROR(__xludf.DUMMYFUNCTION("IFERROR(SUM(FILTER(FILTER('FY22 Budget'!$F$1:$AC$71,'FY22 Budget'!$F$1:$AC$1&gt;=(J$1),'FY22 Budget'!$F$1:$AC$1&lt;(K$1)),'FY22 Budget'!$C$1:$C$71=$D53)),"""")"),2305.0)</f>
        <v>2305</v>
      </c>
      <c r="K53" s="60">
        <f>IFERROR(__xludf.DUMMYFUNCTION("IFERROR(SUM(FILTER(FILTER('FY22 Budget'!$F$1:$AC$71,'FY22 Budget'!$F$1:$AC$1&gt;=(K$1),'FY22 Budget'!$F$1:$AC$1&lt;(L$1)),'FY22 Budget'!$C$1:$C$71=$D53)),"""")"),0.0)</f>
        <v>0</v>
      </c>
      <c r="L53" s="60">
        <f>IFERROR(__xludf.DUMMYFUNCTION("IFERROR(SUM(FILTER(FILTER('FY22 Budget'!$F$1:$AC$71,'FY22 Budget'!$F$1:$AC$1&gt;=(L$1),'FY22 Budget'!$F$1:$AC$1&lt;(M$1)),'FY22 Budget'!$C$1:$C$71=$D53)),"""")"),605.0)</f>
        <v>605</v>
      </c>
      <c r="M53" s="60">
        <f>IFERROR(__xludf.DUMMYFUNCTION("IFERROR(SUM(FILTER(FILTER('FY22 Budget'!$F$1:$AC$71,'FY22 Budget'!$F$1:$AC$1&gt;=(M$1),'FY22 Budget'!$F$1:$AC$1&lt;(N$1)),'FY22 Budget'!$C$1:$C$71=$D53)),"""")"),135.0)</f>
        <v>135</v>
      </c>
      <c r="N53" s="60">
        <f>IFERROR(__xludf.DUMMYFUNCTION("IFERROR(SUM(FILTER(FILTER('FY22 Budget'!$F$1:$AC$71,'FY22 Budget'!$F$1:$AC$1&gt;=(N$1),'FY22 Budget'!$F$1:$AC$1&lt;(O$1)),'FY22 Budget'!$C$1:$C$71=$D53)),"""")"),135.0)</f>
        <v>135</v>
      </c>
      <c r="O53" s="60">
        <f>IFERROR(__xludf.DUMMYFUNCTION("IFERROR(SUM(FILTER(FILTER('FY22 Budget'!$F$1:$AC$71,'FY22 Budget'!$F$1:$AC$1&gt;=(O$1),'FY22 Budget'!$F$1:$AC$1&lt;(P$1)),'FY22 Budget'!$C$1:$C$71=$D53)),"""")"),135.0)</f>
        <v>135</v>
      </c>
      <c r="P53" s="60">
        <f>IFERROR(__xludf.DUMMYFUNCTION("IFERROR(SUM(FILTER(FILTER('FY22 Budget'!$F$1:$AC$71,'FY22 Budget'!$F$1:$AC$1&gt;=(P$1),'FY22 Budget'!$F$1:$AC$1&lt;(Q$1)),'FY22 Budget'!$C$1:$C$71=$D53)),"""")"),441.0)</f>
        <v>441</v>
      </c>
      <c r="Q53" s="48"/>
      <c r="R53" s="60"/>
      <c r="S53" s="60">
        <f t="shared" ref="S53:AD53" si="52">SUM($E53:E53)</f>
        <v>0</v>
      </c>
      <c r="T53" s="60">
        <f t="shared" si="52"/>
        <v>601</v>
      </c>
      <c r="U53" s="60">
        <f t="shared" si="52"/>
        <v>736</v>
      </c>
      <c r="V53" s="60">
        <f t="shared" si="52"/>
        <v>871</v>
      </c>
      <c r="W53" s="60">
        <f t="shared" si="52"/>
        <v>1476</v>
      </c>
      <c r="X53" s="60">
        <f t="shared" si="52"/>
        <v>3781</v>
      </c>
      <c r="Y53" s="60">
        <f t="shared" si="52"/>
        <v>3781</v>
      </c>
      <c r="Z53" s="60">
        <f t="shared" si="52"/>
        <v>4386</v>
      </c>
      <c r="AA53" s="60">
        <f t="shared" si="52"/>
        <v>4521</v>
      </c>
      <c r="AB53" s="60">
        <f t="shared" si="52"/>
        <v>4656</v>
      </c>
      <c r="AC53" s="60">
        <f t="shared" si="52"/>
        <v>4791</v>
      </c>
      <c r="AD53" s="60">
        <f t="shared" si="52"/>
        <v>5232</v>
      </c>
      <c r="AE53" s="48"/>
    </row>
    <row r="54" hidden="1">
      <c r="A54" s="41" t="s">
        <v>14</v>
      </c>
      <c r="B54" s="41" t="s">
        <v>35</v>
      </c>
      <c r="C54" s="41" t="s">
        <v>30</v>
      </c>
      <c r="D54" s="59" t="s">
        <v>99</v>
      </c>
      <c r="E54" s="60">
        <f>IFERROR(__xludf.DUMMYFUNCTION("IFERROR(SUM(FILTER(FILTER('FY22 Budget'!$F$1:$AC$71,'FY22 Budget'!$F$1:$AC$1&gt;=(E$1),'FY22 Budget'!$F$1:$AC$1&lt;(F$1)),'FY22 Budget'!$C$1:$C$71=$D54)),"""")"),4044.0)</f>
        <v>4044</v>
      </c>
      <c r="F54" s="60">
        <f>IFERROR(__xludf.DUMMYFUNCTION("IFERROR(SUM(FILTER(FILTER('FY22 Budget'!$F$1:$AC$71,'FY22 Budget'!$F$1:$AC$1&gt;=(F$1),'FY22 Budget'!$F$1:$AC$1&lt;(G$1)),'FY22 Budget'!$C$1:$C$71=$D54)),"""")"),4044.0)</f>
        <v>4044</v>
      </c>
      <c r="G54" s="60">
        <f>IFERROR(__xludf.DUMMYFUNCTION("IFERROR(SUM(FILTER(FILTER('FY22 Budget'!$F$1:$AC$71,'FY22 Budget'!$F$1:$AC$1&gt;=(G$1),'FY22 Budget'!$F$1:$AC$1&lt;(H$1)),'FY22 Budget'!$C$1:$C$71=$D54)),"""")"),4044.0)</f>
        <v>4044</v>
      </c>
      <c r="H54" s="60">
        <f>IFERROR(__xludf.DUMMYFUNCTION("IFERROR(SUM(FILTER(FILTER('FY22 Budget'!$F$1:$AC$71,'FY22 Budget'!$F$1:$AC$1&gt;=(H$1),'FY22 Budget'!$F$1:$AC$1&lt;(I$1)),'FY22 Budget'!$C$1:$C$71=$D54)),"""")"),4044.0)</f>
        <v>4044</v>
      </c>
      <c r="I54" s="60">
        <f>IFERROR(__xludf.DUMMYFUNCTION("IFERROR(SUM(FILTER(FILTER('FY22 Budget'!$F$1:$AC$71,'FY22 Budget'!$F$1:$AC$1&gt;=(I$1),'FY22 Budget'!$F$1:$AC$1&lt;(J$1)),'FY22 Budget'!$C$1:$C$71=$D54)),"""")"),4044.0)</f>
        <v>4044</v>
      </c>
      <c r="J54" s="60">
        <f>IFERROR(__xludf.DUMMYFUNCTION("IFERROR(SUM(FILTER(FILTER('FY22 Budget'!$F$1:$AC$71,'FY22 Budget'!$F$1:$AC$1&gt;=(J$1),'FY22 Budget'!$F$1:$AC$1&lt;(K$1)),'FY22 Budget'!$C$1:$C$71=$D54)),"""")"),4044.0)</f>
        <v>4044</v>
      </c>
      <c r="K54" s="60">
        <f>IFERROR(__xludf.DUMMYFUNCTION("IFERROR(SUM(FILTER(FILTER('FY22 Budget'!$F$1:$AC$71,'FY22 Budget'!$F$1:$AC$1&gt;=(K$1),'FY22 Budget'!$F$1:$AC$1&lt;(L$1)),'FY22 Budget'!$C$1:$C$71=$D54)),"""")"),4044.0)</f>
        <v>4044</v>
      </c>
      <c r="L54" s="60">
        <f>IFERROR(__xludf.DUMMYFUNCTION("IFERROR(SUM(FILTER(FILTER('FY22 Budget'!$F$1:$AC$71,'FY22 Budget'!$F$1:$AC$1&gt;=(L$1),'FY22 Budget'!$F$1:$AC$1&lt;(M$1)),'FY22 Budget'!$C$1:$C$71=$D54)),"""")"),4044.0)</f>
        <v>4044</v>
      </c>
      <c r="M54" s="60">
        <f>IFERROR(__xludf.DUMMYFUNCTION("IFERROR(SUM(FILTER(FILTER('FY22 Budget'!$F$1:$AC$71,'FY22 Budget'!$F$1:$AC$1&gt;=(M$1),'FY22 Budget'!$F$1:$AC$1&lt;(N$1)),'FY22 Budget'!$C$1:$C$71=$D54)),"""")"),4044.0)</f>
        <v>4044</v>
      </c>
      <c r="N54" s="60">
        <f>IFERROR(__xludf.DUMMYFUNCTION("IFERROR(SUM(FILTER(FILTER('FY22 Budget'!$F$1:$AC$71,'FY22 Budget'!$F$1:$AC$1&gt;=(N$1),'FY22 Budget'!$F$1:$AC$1&lt;(O$1)),'FY22 Budget'!$C$1:$C$71=$D54)),"""")"),4044.0)</f>
        <v>4044</v>
      </c>
      <c r="O54" s="60">
        <f>IFERROR(__xludf.DUMMYFUNCTION("IFERROR(SUM(FILTER(FILTER('FY22 Budget'!$F$1:$AC$71,'FY22 Budget'!$F$1:$AC$1&gt;=(O$1),'FY22 Budget'!$F$1:$AC$1&lt;(P$1)),'FY22 Budget'!$C$1:$C$71=$D54)),"""")"),4044.0)</f>
        <v>4044</v>
      </c>
      <c r="P54" s="60">
        <f>IFERROR(__xludf.DUMMYFUNCTION("IFERROR(SUM(FILTER(FILTER('FY22 Budget'!$F$1:$AC$71,'FY22 Budget'!$F$1:$AC$1&gt;=(P$1),'FY22 Budget'!$F$1:$AC$1&lt;(Q$1)),'FY22 Budget'!$C$1:$C$71=$D54)),"""")"),4044.0)</f>
        <v>4044</v>
      </c>
      <c r="Q54" s="48"/>
      <c r="R54" s="60"/>
      <c r="S54" s="60">
        <f t="shared" ref="S54:AD54" si="53">SUM($E54:E54)</f>
        <v>4044</v>
      </c>
      <c r="T54" s="60">
        <f t="shared" si="53"/>
        <v>8088</v>
      </c>
      <c r="U54" s="60">
        <f t="shared" si="53"/>
        <v>12132</v>
      </c>
      <c r="V54" s="60">
        <f t="shared" si="53"/>
        <v>16176</v>
      </c>
      <c r="W54" s="60">
        <f t="shared" si="53"/>
        <v>20220</v>
      </c>
      <c r="X54" s="60">
        <f t="shared" si="53"/>
        <v>24264</v>
      </c>
      <c r="Y54" s="60">
        <f t="shared" si="53"/>
        <v>28308</v>
      </c>
      <c r="Z54" s="60">
        <f t="shared" si="53"/>
        <v>32352</v>
      </c>
      <c r="AA54" s="60">
        <f t="shared" si="53"/>
        <v>36396</v>
      </c>
      <c r="AB54" s="60">
        <f t="shared" si="53"/>
        <v>40440</v>
      </c>
      <c r="AC54" s="60">
        <f t="shared" si="53"/>
        <v>44484</v>
      </c>
      <c r="AD54" s="60">
        <f t="shared" si="53"/>
        <v>48528</v>
      </c>
      <c r="AE54" s="48"/>
    </row>
    <row r="55" hidden="1">
      <c r="A55" s="41" t="s">
        <v>14</v>
      </c>
      <c r="B55" s="41" t="s">
        <v>35</v>
      </c>
      <c r="C55" s="41" t="s">
        <v>30</v>
      </c>
      <c r="D55" s="59" t="s">
        <v>100</v>
      </c>
      <c r="E55" s="60">
        <f>IFERROR(__xludf.DUMMYFUNCTION("IFERROR(SUM(FILTER(FILTER('FY22 Budget'!$F$1:$AC$71,'FY22 Budget'!$F$1:$AC$1&gt;=(E$1),'FY22 Budget'!$F$1:$AC$1&lt;(F$1)),'FY22 Budget'!$C$1:$C$71=$D55)),"""")"),265.5)</f>
        <v>265.5</v>
      </c>
      <c r="F55" s="60">
        <f>IFERROR(__xludf.DUMMYFUNCTION("IFERROR(SUM(FILTER(FILTER('FY22 Budget'!$F$1:$AC$71,'FY22 Budget'!$F$1:$AC$1&gt;=(F$1),'FY22 Budget'!$F$1:$AC$1&lt;(G$1)),'FY22 Budget'!$C$1:$C$71=$D55)),"""")"),265.5)</f>
        <v>265.5</v>
      </c>
      <c r="G55" s="60">
        <f>IFERROR(__xludf.DUMMYFUNCTION("IFERROR(SUM(FILTER(FILTER('FY22 Budget'!$F$1:$AC$71,'FY22 Budget'!$F$1:$AC$1&gt;=(G$1),'FY22 Budget'!$F$1:$AC$1&lt;(H$1)),'FY22 Budget'!$C$1:$C$71=$D55)),"""")"),265.5)</f>
        <v>265.5</v>
      </c>
      <c r="H55" s="60">
        <f>IFERROR(__xludf.DUMMYFUNCTION("IFERROR(SUM(FILTER(FILTER('FY22 Budget'!$F$1:$AC$71,'FY22 Budget'!$F$1:$AC$1&gt;=(H$1),'FY22 Budget'!$F$1:$AC$1&lt;(I$1)),'FY22 Budget'!$C$1:$C$71=$D55)),"""")"),265.5)</f>
        <v>265.5</v>
      </c>
      <c r="I55" s="60">
        <f>IFERROR(__xludf.DUMMYFUNCTION("IFERROR(SUM(FILTER(FILTER('FY22 Budget'!$F$1:$AC$71,'FY22 Budget'!$F$1:$AC$1&gt;=(I$1),'FY22 Budget'!$F$1:$AC$1&lt;(J$1)),'FY22 Budget'!$C$1:$C$71=$D55)),"""")"),265.5)</f>
        <v>265.5</v>
      </c>
      <c r="J55" s="60">
        <f>IFERROR(__xludf.DUMMYFUNCTION("IFERROR(SUM(FILTER(FILTER('FY22 Budget'!$F$1:$AC$71,'FY22 Budget'!$F$1:$AC$1&gt;=(J$1),'FY22 Budget'!$F$1:$AC$1&lt;(K$1)),'FY22 Budget'!$C$1:$C$71=$D55)),"""")"),265.5)</f>
        <v>265.5</v>
      </c>
      <c r="K55" s="60">
        <f>IFERROR(__xludf.DUMMYFUNCTION("IFERROR(SUM(FILTER(FILTER('FY22 Budget'!$F$1:$AC$71,'FY22 Budget'!$F$1:$AC$1&gt;=(K$1),'FY22 Budget'!$F$1:$AC$1&lt;(L$1)),'FY22 Budget'!$C$1:$C$71=$D55)),"""")"),265.5)</f>
        <v>265.5</v>
      </c>
      <c r="L55" s="60">
        <f>IFERROR(__xludf.DUMMYFUNCTION("IFERROR(SUM(FILTER(FILTER('FY22 Budget'!$F$1:$AC$71,'FY22 Budget'!$F$1:$AC$1&gt;=(L$1),'FY22 Budget'!$F$1:$AC$1&lt;(M$1)),'FY22 Budget'!$C$1:$C$71=$D55)),"""")"),265.5)</f>
        <v>265.5</v>
      </c>
      <c r="M55" s="60">
        <f>IFERROR(__xludf.DUMMYFUNCTION("IFERROR(SUM(FILTER(FILTER('FY22 Budget'!$F$1:$AC$71,'FY22 Budget'!$F$1:$AC$1&gt;=(M$1),'FY22 Budget'!$F$1:$AC$1&lt;(N$1)),'FY22 Budget'!$C$1:$C$71=$D55)),"""")"),265.5)</f>
        <v>265.5</v>
      </c>
      <c r="N55" s="60">
        <f>IFERROR(__xludf.DUMMYFUNCTION("IFERROR(SUM(FILTER(FILTER('FY22 Budget'!$F$1:$AC$71,'FY22 Budget'!$F$1:$AC$1&gt;=(N$1),'FY22 Budget'!$F$1:$AC$1&lt;(O$1)),'FY22 Budget'!$C$1:$C$71=$D55)),"""")"),265.5)</f>
        <v>265.5</v>
      </c>
      <c r="O55" s="60">
        <f>IFERROR(__xludf.DUMMYFUNCTION("IFERROR(SUM(FILTER(FILTER('FY22 Budget'!$F$1:$AC$71,'FY22 Budget'!$F$1:$AC$1&gt;=(O$1),'FY22 Budget'!$F$1:$AC$1&lt;(P$1)),'FY22 Budget'!$C$1:$C$71=$D55)),"""")"),265.5)</f>
        <v>265.5</v>
      </c>
      <c r="P55" s="60">
        <f>IFERROR(__xludf.DUMMYFUNCTION("IFERROR(SUM(FILTER(FILTER('FY22 Budget'!$F$1:$AC$71,'FY22 Budget'!$F$1:$AC$1&gt;=(P$1),'FY22 Budget'!$F$1:$AC$1&lt;(Q$1)),'FY22 Budget'!$C$1:$C$71=$D55)),"""")"),265.5)</f>
        <v>265.5</v>
      </c>
      <c r="Q55" s="48"/>
      <c r="R55" s="60"/>
      <c r="S55" s="60">
        <f t="shared" ref="S55:AD55" si="54">SUM($E55:E55)</f>
        <v>265.5</v>
      </c>
      <c r="T55" s="60">
        <f t="shared" si="54"/>
        <v>531</v>
      </c>
      <c r="U55" s="60">
        <f t="shared" si="54"/>
        <v>796.5</v>
      </c>
      <c r="V55" s="60">
        <f t="shared" si="54"/>
        <v>1062</v>
      </c>
      <c r="W55" s="60">
        <f t="shared" si="54"/>
        <v>1327.5</v>
      </c>
      <c r="X55" s="60">
        <f t="shared" si="54"/>
        <v>1593</v>
      </c>
      <c r="Y55" s="60">
        <f t="shared" si="54"/>
        <v>1858.5</v>
      </c>
      <c r="Z55" s="60">
        <f t="shared" si="54"/>
        <v>2124</v>
      </c>
      <c r="AA55" s="60">
        <f t="shared" si="54"/>
        <v>2389.5</v>
      </c>
      <c r="AB55" s="60">
        <f t="shared" si="54"/>
        <v>2655</v>
      </c>
      <c r="AC55" s="60">
        <f t="shared" si="54"/>
        <v>2920.5</v>
      </c>
      <c r="AD55" s="60">
        <f t="shared" si="54"/>
        <v>3186</v>
      </c>
      <c r="AE55" s="48"/>
    </row>
    <row r="56" hidden="1">
      <c r="A56" s="41" t="s">
        <v>14</v>
      </c>
      <c r="B56" s="41" t="s">
        <v>35</v>
      </c>
      <c r="C56" s="41" t="s">
        <v>27</v>
      </c>
      <c r="D56" s="59" t="s">
        <v>101</v>
      </c>
      <c r="E56" s="60">
        <f>IFERROR(__xludf.DUMMYFUNCTION("IFERROR(SUM(FILTER(FILTER('FY22 Budget'!$F$1:$AC$71,'FY22 Budget'!$F$1:$AC$1&gt;=(E$1),'FY22 Budget'!$F$1:$AC$1&lt;(F$1)),'FY22 Budget'!$C$1:$C$71=$D56)),"""")"),169.4)</f>
        <v>169.4</v>
      </c>
      <c r="F56" s="60">
        <f>IFERROR(__xludf.DUMMYFUNCTION("IFERROR(SUM(FILTER(FILTER('FY22 Budget'!$F$1:$AC$71,'FY22 Budget'!$F$1:$AC$1&gt;=(F$1),'FY22 Budget'!$F$1:$AC$1&lt;(G$1)),'FY22 Budget'!$C$1:$C$71=$D56)),"""")"),169.4)</f>
        <v>169.4</v>
      </c>
      <c r="G56" s="60">
        <f>IFERROR(__xludf.DUMMYFUNCTION("IFERROR(SUM(FILTER(FILTER('FY22 Budget'!$F$1:$AC$71,'FY22 Budget'!$F$1:$AC$1&gt;=(G$1),'FY22 Budget'!$F$1:$AC$1&lt;(H$1)),'FY22 Budget'!$C$1:$C$71=$D56)),"""")"),169.4)</f>
        <v>169.4</v>
      </c>
      <c r="H56" s="60">
        <f>IFERROR(__xludf.DUMMYFUNCTION("IFERROR(SUM(FILTER(FILTER('FY22 Budget'!$F$1:$AC$71,'FY22 Budget'!$F$1:$AC$1&gt;=(H$1),'FY22 Budget'!$F$1:$AC$1&lt;(I$1)),'FY22 Budget'!$C$1:$C$71=$D56)),"""")"),169.4)</f>
        <v>169.4</v>
      </c>
      <c r="I56" s="60">
        <f>IFERROR(__xludf.DUMMYFUNCTION("IFERROR(SUM(FILTER(FILTER('FY22 Budget'!$F$1:$AC$71,'FY22 Budget'!$F$1:$AC$1&gt;=(I$1),'FY22 Budget'!$F$1:$AC$1&lt;(J$1)),'FY22 Budget'!$C$1:$C$71=$D56)),"""")"),169.4)</f>
        <v>169.4</v>
      </c>
      <c r="J56" s="60">
        <f>IFERROR(__xludf.DUMMYFUNCTION("IFERROR(SUM(FILTER(FILTER('FY22 Budget'!$F$1:$AC$71,'FY22 Budget'!$F$1:$AC$1&gt;=(J$1),'FY22 Budget'!$F$1:$AC$1&lt;(K$1)),'FY22 Budget'!$C$1:$C$71=$D56)),"""")"),169.4)</f>
        <v>169.4</v>
      </c>
      <c r="K56" s="60">
        <f>IFERROR(__xludf.DUMMYFUNCTION("IFERROR(SUM(FILTER(FILTER('FY22 Budget'!$F$1:$AC$71,'FY22 Budget'!$F$1:$AC$1&gt;=(K$1),'FY22 Budget'!$F$1:$AC$1&lt;(L$1)),'FY22 Budget'!$C$1:$C$71=$D56)),"""")"),169.4)</f>
        <v>169.4</v>
      </c>
      <c r="L56" s="60">
        <f>IFERROR(__xludf.DUMMYFUNCTION("IFERROR(SUM(FILTER(FILTER('FY22 Budget'!$F$1:$AC$71,'FY22 Budget'!$F$1:$AC$1&gt;=(L$1),'FY22 Budget'!$F$1:$AC$1&lt;(M$1)),'FY22 Budget'!$C$1:$C$71=$D56)),"""")"),169.4)</f>
        <v>169.4</v>
      </c>
      <c r="M56" s="60">
        <f>IFERROR(__xludf.DUMMYFUNCTION("IFERROR(SUM(FILTER(FILTER('FY22 Budget'!$F$1:$AC$71,'FY22 Budget'!$F$1:$AC$1&gt;=(M$1),'FY22 Budget'!$F$1:$AC$1&lt;(N$1)),'FY22 Budget'!$C$1:$C$71=$D56)),"""")"),169.4)</f>
        <v>169.4</v>
      </c>
      <c r="N56" s="60">
        <f>IFERROR(__xludf.DUMMYFUNCTION("IFERROR(SUM(FILTER(FILTER('FY22 Budget'!$F$1:$AC$71,'FY22 Budget'!$F$1:$AC$1&gt;=(N$1),'FY22 Budget'!$F$1:$AC$1&lt;(O$1)),'FY22 Budget'!$C$1:$C$71=$D56)),"""")"),169.4)</f>
        <v>169.4</v>
      </c>
      <c r="O56" s="60">
        <f>IFERROR(__xludf.DUMMYFUNCTION("IFERROR(SUM(FILTER(FILTER('FY22 Budget'!$F$1:$AC$71,'FY22 Budget'!$F$1:$AC$1&gt;=(O$1),'FY22 Budget'!$F$1:$AC$1&lt;(P$1)),'FY22 Budget'!$C$1:$C$71=$D56)),"""")"),169.4)</f>
        <v>169.4</v>
      </c>
      <c r="P56" s="60">
        <f>IFERROR(__xludf.DUMMYFUNCTION("IFERROR(SUM(FILTER(FILTER('FY22 Budget'!$F$1:$AC$71,'FY22 Budget'!$F$1:$AC$1&gt;=(P$1),'FY22 Budget'!$F$1:$AC$1&lt;(Q$1)),'FY22 Budget'!$C$1:$C$71=$D56)),"""")"),169.4)</f>
        <v>169.4</v>
      </c>
      <c r="Q56" s="48"/>
      <c r="R56" s="60"/>
      <c r="S56" s="60">
        <f t="shared" ref="S56:AD56" si="55">SUM($E56:E56)</f>
        <v>169.4</v>
      </c>
      <c r="T56" s="60">
        <f t="shared" si="55"/>
        <v>338.8</v>
      </c>
      <c r="U56" s="60">
        <f t="shared" si="55"/>
        <v>508.2</v>
      </c>
      <c r="V56" s="60">
        <f t="shared" si="55"/>
        <v>677.6</v>
      </c>
      <c r="W56" s="60">
        <f t="shared" si="55"/>
        <v>847</v>
      </c>
      <c r="X56" s="60">
        <f t="shared" si="55"/>
        <v>1016.4</v>
      </c>
      <c r="Y56" s="60">
        <f t="shared" si="55"/>
        <v>1185.8</v>
      </c>
      <c r="Z56" s="60">
        <f t="shared" si="55"/>
        <v>1355.2</v>
      </c>
      <c r="AA56" s="60">
        <f t="shared" si="55"/>
        <v>1524.6</v>
      </c>
      <c r="AB56" s="60">
        <f t="shared" si="55"/>
        <v>1694</v>
      </c>
      <c r="AC56" s="60">
        <f t="shared" si="55"/>
        <v>1863.4</v>
      </c>
      <c r="AD56" s="60">
        <f t="shared" si="55"/>
        <v>2032.8</v>
      </c>
      <c r="AE56" s="48"/>
    </row>
    <row r="57" hidden="1">
      <c r="A57" s="41" t="s">
        <v>14</v>
      </c>
      <c r="B57" s="41" t="s">
        <v>35</v>
      </c>
      <c r="C57" s="41" t="s">
        <v>30</v>
      </c>
      <c r="D57" s="59" t="s">
        <v>102</v>
      </c>
      <c r="E57" s="60">
        <f>IFERROR(__xludf.DUMMYFUNCTION("IFERROR(SUM(FILTER(FILTER('FY22 Budget'!$F$1:$AC$71,'FY22 Budget'!$F$1:$AC$1&gt;=(E$1),'FY22 Budget'!$F$1:$AC$1&lt;(F$1)),'FY22 Budget'!$C$1:$C$71=$D57)),"""")"),0.0)</f>
        <v>0</v>
      </c>
      <c r="F57" s="60">
        <f>IFERROR(__xludf.DUMMYFUNCTION("IFERROR(SUM(FILTER(FILTER('FY22 Budget'!$F$1:$AC$71,'FY22 Budget'!$F$1:$AC$1&gt;=(F$1),'FY22 Budget'!$F$1:$AC$1&lt;(G$1)),'FY22 Budget'!$C$1:$C$71=$D57)),"""")"),46333.0)</f>
        <v>46333</v>
      </c>
      <c r="G57" s="60">
        <f>IFERROR(__xludf.DUMMYFUNCTION("IFERROR(SUM(FILTER(FILTER('FY22 Budget'!$F$1:$AC$71,'FY22 Budget'!$F$1:$AC$1&gt;=(G$1),'FY22 Budget'!$F$1:$AC$1&lt;(H$1)),'FY22 Budget'!$C$1:$C$71=$D57)),"""")"),0.0)</f>
        <v>0</v>
      </c>
      <c r="H57" s="60">
        <f>IFERROR(__xludf.DUMMYFUNCTION("IFERROR(SUM(FILTER(FILTER('FY22 Budget'!$F$1:$AC$71,'FY22 Budget'!$F$1:$AC$1&gt;=(H$1),'FY22 Budget'!$F$1:$AC$1&lt;(I$1)),'FY22 Budget'!$C$1:$C$71=$D57)),"""")"),0.0)</f>
        <v>0</v>
      </c>
      <c r="I57" s="60">
        <f>IFERROR(__xludf.DUMMYFUNCTION("IFERROR(SUM(FILTER(FILTER('FY22 Budget'!$F$1:$AC$71,'FY22 Budget'!$F$1:$AC$1&gt;=(I$1),'FY22 Budget'!$F$1:$AC$1&lt;(J$1)),'FY22 Budget'!$C$1:$C$71=$D57)),"""")"),0.0)</f>
        <v>0</v>
      </c>
      <c r="J57" s="60">
        <f>IFERROR(__xludf.DUMMYFUNCTION("IFERROR(SUM(FILTER(FILTER('FY22 Budget'!$F$1:$AC$71,'FY22 Budget'!$F$1:$AC$1&gt;=(J$1),'FY22 Budget'!$F$1:$AC$1&lt;(K$1)),'FY22 Budget'!$C$1:$C$71=$D57)),"""")"),15000.0)</f>
        <v>15000</v>
      </c>
      <c r="K57" s="60">
        <f>IFERROR(__xludf.DUMMYFUNCTION("IFERROR(SUM(FILTER(FILTER('FY22 Budget'!$F$1:$AC$71,'FY22 Budget'!$F$1:$AC$1&gt;=(K$1),'FY22 Budget'!$F$1:$AC$1&lt;(L$1)),'FY22 Budget'!$C$1:$C$71=$D57)),"""")"),0.0)</f>
        <v>0</v>
      </c>
      <c r="L57" s="60">
        <f>IFERROR(__xludf.DUMMYFUNCTION("IFERROR(SUM(FILTER(FILTER('FY22 Budget'!$F$1:$AC$71,'FY22 Budget'!$F$1:$AC$1&gt;=(L$1),'FY22 Budget'!$F$1:$AC$1&lt;(M$1)),'FY22 Budget'!$C$1:$C$71=$D57)),"""")"),0.0)</f>
        <v>0</v>
      </c>
      <c r="M57" s="60">
        <f>IFERROR(__xludf.DUMMYFUNCTION("IFERROR(SUM(FILTER(FILTER('FY22 Budget'!$F$1:$AC$71,'FY22 Budget'!$F$1:$AC$1&gt;=(M$1),'FY22 Budget'!$F$1:$AC$1&lt;(N$1)),'FY22 Budget'!$C$1:$C$71=$D57)),"""")"),0.0)</f>
        <v>0</v>
      </c>
      <c r="N57" s="60">
        <f>IFERROR(__xludf.DUMMYFUNCTION("IFERROR(SUM(FILTER(FILTER('FY22 Budget'!$F$1:$AC$71,'FY22 Budget'!$F$1:$AC$1&gt;=(N$1),'FY22 Budget'!$F$1:$AC$1&lt;(O$1)),'FY22 Budget'!$C$1:$C$71=$D57)),"""")"),0.0)</f>
        <v>0</v>
      </c>
      <c r="O57" s="60">
        <f>IFERROR(__xludf.DUMMYFUNCTION("IFERROR(SUM(FILTER(FILTER('FY22 Budget'!$F$1:$AC$71,'FY22 Budget'!$F$1:$AC$1&gt;=(O$1),'FY22 Budget'!$F$1:$AC$1&lt;(P$1)),'FY22 Budget'!$C$1:$C$71=$D57)),"""")"),0.0)</f>
        <v>0</v>
      </c>
      <c r="P57" s="60">
        <f>IFERROR(__xludf.DUMMYFUNCTION("IFERROR(SUM(FILTER(FILTER('FY22 Budget'!$F$1:$AC$71,'FY22 Budget'!$F$1:$AC$1&gt;=(P$1),'FY22 Budget'!$F$1:$AC$1&lt;(Q$1)),'FY22 Budget'!$C$1:$C$71=$D57)),"""")"),1425.0)</f>
        <v>1425</v>
      </c>
      <c r="Q57" s="48"/>
      <c r="R57" s="60"/>
      <c r="S57" s="60">
        <f t="shared" ref="S57:AD57" si="56">SUM($E57:E57)</f>
        <v>0</v>
      </c>
      <c r="T57" s="60">
        <f t="shared" si="56"/>
        <v>46333</v>
      </c>
      <c r="U57" s="60">
        <f t="shared" si="56"/>
        <v>46333</v>
      </c>
      <c r="V57" s="60">
        <f t="shared" si="56"/>
        <v>46333</v>
      </c>
      <c r="W57" s="60">
        <f t="shared" si="56"/>
        <v>46333</v>
      </c>
      <c r="X57" s="60">
        <f t="shared" si="56"/>
        <v>61333</v>
      </c>
      <c r="Y57" s="60">
        <f t="shared" si="56"/>
        <v>61333</v>
      </c>
      <c r="Z57" s="60">
        <f t="shared" si="56"/>
        <v>61333</v>
      </c>
      <c r="AA57" s="60">
        <f t="shared" si="56"/>
        <v>61333</v>
      </c>
      <c r="AB57" s="60">
        <f t="shared" si="56"/>
        <v>61333</v>
      </c>
      <c r="AC57" s="60">
        <f t="shared" si="56"/>
        <v>61333</v>
      </c>
      <c r="AD57" s="60">
        <f t="shared" si="56"/>
        <v>62758</v>
      </c>
      <c r="AE57" s="48"/>
    </row>
    <row r="58" hidden="1">
      <c r="A58" s="41" t="s">
        <v>14</v>
      </c>
      <c r="B58" s="41" t="s">
        <v>35</v>
      </c>
      <c r="C58" s="41" t="s">
        <v>30</v>
      </c>
      <c r="D58" s="59" t="s">
        <v>103</v>
      </c>
      <c r="E58" s="60">
        <f>IFERROR(__xludf.DUMMYFUNCTION("IFERROR(SUM(FILTER(FILTER('FY22 Budget'!$F$1:$AC$71,'FY22 Budget'!$F$1:$AC$1&gt;=(E$1),'FY22 Budget'!$F$1:$AC$1&lt;(F$1)),'FY22 Budget'!$C$1:$C$71=$D58)),"""")"),23989.3)</f>
        <v>23989.3</v>
      </c>
      <c r="F58" s="60">
        <f>IFERROR(__xludf.DUMMYFUNCTION("IFERROR(SUM(FILTER(FILTER('FY22 Budget'!$F$1:$AC$71,'FY22 Budget'!$F$1:$AC$1&gt;=(F$1),'FY22 Budget'!$F$1:$AC$1&lt;(G$1)),'FY22 Budget'!$C$1:$C$71=$D58)),"""")"),29152.7)</f>
        <v>29152.7</v>
      </c>
      <c r="G58" s="60">
        <f>IFERROR(__xludf.DUMMYFUNCTION("IFERROR(SUM(FILTER(FILTER('FY22 Budget'!$F$1:$AC$71,'FY22 Budget'!$F$1:$AC$1&gt;=(G$1),'FY22 Budget'!$F$1:$AC$1&lt;(H$1)),'FY22 Budget'!$C$1:$C$71=$D58)),"""")"),11289.3)</f>
        <v>11289.3</v>
      </c>
      <c r="H58" s="60">
        <f>IFERROR(__xludf.DUMMYFUNCTION("IFERROR(SUM(FILTER(FILTER('FY22 Budget'!$F$1:$AC$71,'FY22 Budget'!$F$1:$AC$1&gt;=(H$1),'FY22 Budget'!$F$1:$AC$1&lt;(I$1)),'FY22 Budget'!$C$1:$C$71=$D58)),"""")"),6039.3)</f>
        <v>6039.3</v>
      </c>
      <c r="I58" s="60">
        <f>IFERROR(__xludf.DUMMYFUNCTION("IFERROR(SUM(FILTER(FILTER('FY22 Budget'!$F$1:$AC$71,'FY22 Budget'!$F$1:$AC$1&gt;=(I$1),'FY22 Budget'!$F$1:$AC$1&lt;(J$1)),'FY22 Budget'!$C$1:$C$71=$D58)),"""")"),6039.3)</f>
        <v>6039.3</v>
      </c>
      <c r="J58" s="60">
        <f>IFERROR(__xludf.DUMMYFUNCTION("IFERROR(SUM(FILTER(FILTER('FY22 Budget'!$F$1:$AC$71,'FY22 Budget'!$F$1:$AC$1&gt;=(J$1),'FY22 Budget'!$F$1:$AC$1&lt;(K$1)),'FY22 Budget'!$C$1:$C$71=$D58)),"""")"),6039.3)</f>
        <v>6039.3</v>
      </c>
      <c r="K58" s="60">
        <f>IFERROR(__xludf.DUMMYFUNCTION("IFERROR(SUM(FILTER(FILTER('FY22 Budget'!$F$1:$AC$71,'FY22 Budget'!$F$1:$AC$1&gt;=(K$1),'FY22 Budget'!$F$1:$AC$1&lt;(L$1)),'FY22 Budget'!$C$1:$C$71=$D58)),"""")"),6039.3)</f>
        <v>6039.3</v>
      </c>
      <c r="L58" s="60">
        <f>IFERROR(__xludf.DUMMYFUNCTION("IFERROR(SUM(FILTER(FILTER('FY22 Budget'!$F$1:$AC$71,'FY22 Budget'!$F$1:$AC$1&gt;=(L$1),'FY22 Budget'!$F$1:$AC$1&lt;(M$1)),'FY22 Budget'!$C$1:$C$71=$D58)),"""")"),6039.3)</f>
        <v>6039.3</v>
      </c>
      <c r="M58" s="60">
        <f>IFERROR(__xludf.DUMMYFUNCTION("IFERROR(SUM(FILTER(FILTER('FY22 Budget'!$F$1:$AC$71,'FY22 Budget'!$F$1:$AC$1&gt;=(M$1),'FY22 Budget'!$F$1:$AC$1&lt;(N$1)),'FY22 Budget'!$C$1:$C$71=$D58)),"""")"),7039.3)</f>
        <v>7039.3</v>
      </c>
      <c r="N58" s="60">
        <f>IFERROR(__xludf.DUMMYFUNCTION("IFERROR(SUM(FILTER(FILTER('FY22 Budget'!$F$1:$AC$71,'FY22 Budget'!$F$1:$AC$1&gt;=(N$1),'FY22 Budget'!$F$1:$AC$1&lt;(O$1)),'FY22 Budget'!$C$1:$C$71=$D58)),"""")"),6039.3)</f>
        <v>6039.3</v>
      </c>
      <c r="O58" s="60">
        <f>IFERROR(__xludf.DUMMYFUNCTION("IFERROR(SUM(FILTER(FILTER('FY22 Budget'!$F$1:$AC$71,'FY22 Budget'!$F$1:$AC$1&gt;=(O$1),'FY22 Budget'!$F$1:$AC$1&lt;(P$1)),'FY22 Budget'!$C$1:$C$71=$D58)),"""")"),6204.3)</f>
        <v>6204.3</v>
      </c>
      <c r="P58" s="60">
        <f>IFERROR(__xludf.DUMMYFUNCTION("IFERROR(SUM(FILTER(FILTER('FY22 Budget'!$F$1:$AC$71,'FY22 Budget'!$F$1:$AC$1&gt;=(P$1),'FY22 Budget'!$F$1:$AC$1&lt;(Q$1)),'FY22 Budget'!$C$1:$C$71=$D58)),"""")"),6039.3)</f>
        <v>6039.3</v>
      </c>
      <c r="Q58" s="48"/>
      <c r="R58" s="60"/>
      <c r="S58" s="60">
        <f t="shared" ref="S58:AD58" si="57">SUM($E58:E58)</f>
        <v>23989.3</v>
      </c>
      <c r="T58" s="60">
        <f t="shared" si="57"/>
        <v>53142</v>
      </c>
      <c r="U58" s="60">
        <f t="shared" si="57"/>
        <v>64431.3</v>
      </c>
      <c r="V58" s="60">
        <f t="shared" si="57"/>
        <v>70470.6</v>
      </c>
      <c r="W58" s="60">
        <f t="shared" si="57"/>
        <v>76509.9</v>
      </c>
      <c r="X58" s="60">
        <f t="shared" si="57"/>
        <v>82549.2</v>
      </c>
      <c r="Y58" s="60">
        <f t="shared" si="57"/>
        <v>88588.5</v>
      </c>
      <c r="Z58" s="60">
        <f t="shared" si="57"/>
        <v>94627.8</v>
      </c>
      <c r="AA58" s="60">
        <f t="shared" si="57"/>
        <v>101667.1</v>
      </c>
      <c r="AB58" s="60">
        <f t="shared" si="57"/>
        <v>107706.4</v>
      </c>
      <c r="AC58" s="60">
        <f t="shared" si="57"/>
        <v>113910.7</v>
      </c>
      <c r="AD58" s="60">
        <f t="shared" si="57"/>
        <v>119950</v>
      </c>
      <c r="AE58" s="48"/>
    </row>
    <row r="59" hidden="1">
      <c r="A59" s="41" t="s">
        <v>14</v>
      </c>
      <c r="B59" s="41" t="s">
        <v>35</v>
      </c>
      <c r="C59" s="41" t="s">
        <v>30</v>
      </c>
      <c r="D59" s="59" t="s">
        <v>104</v>
      </c>
      <c r="E59" s="60">
        <f>IFERROR(__xludf.DUMMYFUNCTION("IFERROR(SUM(FILTER(FILTER('FY22 Budget'!$F$1:$AC$71,'FY22 Budget'!$F$1:$AC$1&gt;=(E$1),'FY22 Budget'!$F$1:$AC$1&lt;(F$1)),'FY22 Budget'!$C$1:$C$71=$D59)),"""")"),83.34)</f>
        <v>83.34</v>
      </c>
      <c r="F59" s="60">
        <f>IFERROR(__xludf.DUMMYFUNCTION("IFERROR(SUM(FILTER(FILTER('FY22 Budget'!$F$1:$AC$71,'FY22 Budget'!$F$1:$AC$1&gt;=(F$1),'FY22 Budget'!$F$1:$AC$1&lt;(G$1)),'FY22 Budget'!$C$1:$C$71=$D59)),"""")"),83.34)</f>
        <v>83.34</v>
      </c>
      <c r="G59" s="60">
        <f>IFERROR(__xludf.DUMMYFUNCTION("IFERROR(SUM(FILTER(FILTER('FY22 Budget'!$F$1:$AC$71,'FY22 Budget'!$F$1:$AC$1&gt;=(G$1),'FY22 Budget'!$F$1:$AC$1&lt;(H$1)),'FY22 Budget'!$C$1:$C$71=$D59)),"""")"),83.34)</f>
        <v>83.34</v>
      </c>
      <c r="H59" s="60">
        <f>IFERROR(__xludf.DUMMYFUNCTION("IFERROR(SUM(FILTER(FILTER('FY22 Budget'!$F$1:$AC$71,'FY22 Budget'!$F$1:$AC$1&gt;=(H$1),'FY22 Budget'!$F$1:$AC$1&lt;(I$1)),'FY22 Budget'!$C$1:$C$71=$D59)),"""")"),83.34)</f>
        <v>83.34</v>
      </c>
      <c r="I59" s="60">
        <f>IFERROR(__xludf.DUMMYFUNCTION("IFERROR(SUM(FILTER(FILTER('FY22 Budget'!$F$1:$AC$71,'FY22 Budget'!$F$1:$AC$1&gt;=(I$1),'FY22 Budget'!$F$1:$AC$1&lt;(J$1)),'FY22 Budget'!$C$1:$C$71=$D59)),"""")"),83.34)</f>
        <v>83.34</v>
      </c>
      <c r="J59" s="60">
        <f>IFERROR(__xludf.DUMMYFUNCTION("IFERROR(SUM(FILTER(FILTER('FY22 Budget'!$F$1:$AC$71,'FY22 Budget'!$F$1:$AC$1&gt;=(J$1),'FY22 Budget'!$F$1:$AC$1&lt;(K$1)),'FY22 Budget'!$C$1:$C$71=$D59)),"""")"),83.34)</f>
        <v>83.34</v>
      </c>
      <c r="K59" s="60">
        <f>IFERROR(__xludf.DUMMYFUNCTION("IFERROR(SUM(FILTER(FILTER('FY22 Budget'!$F$1:$AC$71,'FY22 Budget'!$F$1:$AC$1&gt;=(K$1),'FY22 Budget'!$F$1:$AC$1&lt;(L$1)),'FY22 Budget'!$C$1:$C$71=$D59)),"""")"),83.34)</f>
        <v>83.34</v>
      </c>
      <c r="L59" s="60">
        <f>IFERROR(__xludf.DUMMYFUNCTION("IFERROR(SUM(FILTER(FILTER('FY22 Budget'!$F$1:$AC$71,'FY22 Budget'!$F$1:$AC$1&gt;=(L$1),'FY22 Budget'!$F$1:$AC$1&lt;(M$1)),'FY22 Budget'!$C$1:$C$71=$D59)),"""")"),83.34)</f>
        <v>83.34</v>
      </c>
      <c r="M59" s="60">
        <f>IFERROR(__xludf.DUMMYFUNCTION("IFERROR(SUM(FILTER(FILTER('FY22 Budget'!$F$1:$AC$71,'FY22 Budget'!$F$1:$AC$1&gt;=(M$1),'FY22 Budget'!$F$1:$AC$1&lt;(N$1)),'FY22 Budget'!$C$1:$C$71=$D59)),"""")"),83.34)</f>
        <v>83.34</v>
      </c>
      <c r="N59" s="60">
        <f>IFERROR(__xludf.DUMMYFUNCTION("IFERROR(SUM(FILTER(FILTER('FY22 Budget'!$F$1:$AC$71,'FY22 Budget'!$F$1:$AC$1&gt;=(N$1),'FY22 Budget'!$F$1:$AC$1&lt;(O$1)),'FY22 Budget'!$C$1:$C$71=$D59)),"""")"),83.34)</f>
        <v>83.34</v>
      </c>
      <c r="O59" s="60">
        <f>IFERROR(__xludf.DUMMYFUNCTION("IFERROR(SUM(FILTER(FILTER('FY22 Budget'!$F$1:$AC$71,'FY22 Budget'!$F$1:$AC$1&gt;=(O$1),'FY22 Budget'!$F$1:$AC$1&lt;(P$1)),'FY22 Budget'!$C$1:$C$71=$D59)),"""")"),83.34)</f>
        <v>83.34</v>
      </c>
      <c r="P59" s="60">
        <f>IFERROR(__xludf.DUMMYFUNCTION("IFERROR(SUM(FILTER(FILTER('FY22 Budget'!$F$1:$AC$71,'FY22 Budget'!$F$1:$AC$1&gt;=(P$1),'FY22 Budget'!$F$1:$AC$1&lt;(Q$1)),'FY22 Budget'!$C$1:$C$71=$D59)),"""")"),83.34)</f>
        <v>83.34</v>
      </c>
      <c r="Q59" s="48"/>
      <c r="R59" s="60"/>
      <c r="S59" s="60">
        <f t="shared" ref="S59:AD59" si="58">SUM($E59:E59)</f>
        <v>83.34</v>
      </c>
      <c r="T59" s="60">
        <f t="shared" si="58"/>
        <v>166.68</v>
      </c>
      <c r="U59" s="60">
        <f t="shared" si="58"/>
        <v>250.02</v>
      </c>
      <c r="V59" s="60">
        <f t="shared" si="58"/>
        <v>333.36</v>
      </c>
      <c r="W59" s="60">
        <f t="shared" si="58"/>
        <v>416.7</v>
      </c>
      <c r="X59" s="60">
        <f t="shared" si="58"/>
        <v>500.04</v>
      </c>
      <c r="Y59" s="60">
        <f t="shared" si="58"/>
        <v>583.38</v>
      </c>
      <c r="Z59" s="60">
        <f t="shared" si="58"/>
        <v>666.72</v>
      </c>
      <c r="AA59" s="60">
        <f t="shared" si="58"/>
        <v>750.06</v>
      </c>
      <c r="AB59" s="60">
        <f t="shared" si="58"/>
        <v>833.4</v>
      </c>
      <c r="AC59" s="60">
        <f t="shared" si="58"/>
        <v>916.74</v>
      </c>
      <c r="AD59" s="60">
        <f t="shared" si="58"/>
        <v>1000.08</v>
      </c>
      <c r="AE59" s="48"/>
    </row>
    <row r="60" hidden="1">
      <c r="A60" s="41" t="s">
        <v>14</v>
      </c>
      <c r="B60" s="41" t="s">
        <v>35</v>
      </c>
      <c r="C60" s="41" t="s">
        <v>27</v>
      </c>
      <c r="D60" s="59" t="s">
        <v>105</v>
      </c>
      <c r="E60" s="60">
        <f>IFERROR(__xludf.DUMMYFUNCTION("IFERROR(SUM(FILTER(FILTER('FY22 Budget'!$F$1:$AC$71,'FY22 Budget'!$F$1:$AC$1&gt;=(E$1),'FY22 Budget'!$F$1:$AC$1&lt;(F$1)),'FY22 Budget'!$C$1:$C$71=$D60)),"""")"),145.84)</f>
        <v>145.84</v>
      </c>
      <c r="F60" s="60">
        <f>IFERROR(__xludf.DUMMYFUNCTION("IFERROR(SUM(FILTER(FILTER('FY22 Budget'!$F$1:$AC$71,'FY22 Budget'!$F$1:$AC$1&gt;=(F$1),'FY22 Budget'!$F$1:$AC$1&lt;(G$1)),'FY22 Budget'!$C$1:$C$71=$D60)),"""")"),2745.84)</f>
        <v>2745.84</v>
      </c>
      <c r="G60" s="60">
        <f>IFERROR(__xludf.DUMMYFUNCTION("IFERROR(SUM(FILTER(FILTER('FY22 Budget'!$F$1:$AC$71,'FY22 Budget'!$F$1:$AC$1&gt;=(G$1),'FY22 Budget'!$F$1:$AC$1&lt;(H$1)),'FY22 Budget'!$C$1:$C$71=$D60)),"""")"),145.84)</f>
        <v>145.84</v>
      </c>
      <c r="H60" s="60">
        <f>IFERROR(__xludf.DUMMYFUNCTION("IFERROR(SUM(FILTER(FILTER('FY22 Budget'!$F$1:$AC$71,'FY22 Budget'!$F$1:$AC$1&gt;=(H$1),'FY22 Budget'!$F$1:$AC$1&lt;(I$1)),'FY22 Budget'!$C$1:$C$71=$D60)),"""")"),145.84)</f>
        <v>145.84</v>
      </c>
      <c r="I60" s="60">
        <f>IFERROR(__xludf.DUMMYFUNCTION("IFERROR(SUM(FILTER(FILTER('FY22 Budget'!$F$1:$AC$71,'FY22 Budget'!$F$1:$AC$1&gt;=(I$1),'FY22 Budget'!$F$1:$AC$1&lt;(J$1)),'FY22 Budget'!$C$1:$C$71=$D60)),"""")"),145.84)</f>
        <v>145.84</v>
      </c>
      <c r="J60" s="60">
        <f>IFERROR(__xludf.DUMMYFUNCTION("IFERROR(SUM(FILTER(FILTER('FY22 Budget'!$F$1:$AC$71,'FY22 Budget'!$F$1:$AC$1&gt;=(J$1),'FY22 Budget'!$F$1:$AC$1&lt;(K$1)),'FY22 Budget'!$C$1:$C$71=$D60)),"""")"),145.84)</f>
        <v>145.84</v>
      </c>
      <c r="K60" s="60">
        <f>IFERROR(__xludf.DUMMYFUNCTION("IFERROR(SUM(FILTER(FILTER('FY22 Budget'!$F$1:$AC$71,'FY22 Budget'!$F$1:$AC$1&gt;=(K$1),'FY22 Budget'!$F$1:$AC$1&lt;(L$1)),'FY22 Budget'!$C$1:$C$71=$D60)),"""")"),145.84)</f>
        <v>145.84</v>
      </c>
      <c r="L60" s="60">
        <f>IFERROR(__xludf.DUMMYFUNCTION("IFERROR(SUM(FILTER(FILTER('FY22 Budget'!$F$1:$AC$71,'FY22 Budget'!$F$1:$AC$1&gt;=(L$1),'FY22 Budget'!$F$1:$AC$1&lt;(M$1)),'FY22 Budget'!$C$1:$C$71=$D60)),"""")"),145.84)</f>
        <v>145.84</v>
      </c>
      <c r="M60" s="60">
        <f>IFERROR(__xludf.DUMMYFUNCTION("IFERROR(SUM(FILTER(FILTER('FY22 Budget'!$F$1:$AC$71,'FY22 Budget'!$F$1:$AC$1&gt;=(M$1),'FY22 Budget'!$F$1:$AC$1&lt;(N$1)),'FY22 Budget'!$C$1:$C$71=$D60)),"""")"),145.84)</f>
        <v>145.84</v>
      </c>
      <c r="N60" s="60">
        <f>IFERROR(__xludf.DUMMYFUNCTION("IFERROR(SUM(FILTER(FILTER('FY22 Budget'!$F$1:$AC$71,'FY22 Budget'!$F$1:$AC$1&gt;=(N$1),'FY22 Budget'!$F$1:$AC$1&lt;(O$1)),'FY22 Budget'!$C$1:$C$71=$D60)),"""")"),145.84)</f>
        <v>145.84</v>
      </c>
      <c r="O60" s="60">
        <f>IFERROR(__xludf.DUMMYFUNCTION("IFERROR(SUM(FILTER(FILTER('FY22 Budget'!$F$1:$AC$71,'FY22 Budget'!$F$1:$AC$1&gt;=(O$1),'FY22 Budget'!$F$1:$AC$1&lt;(P$1)),'FY22 Budget'!$C$1:$C$71=$D60)),"""")"),145.84)</f>
        <v>145.84</v>
      </c>
      <c r="P60" s="60">
        <f>IFERROR(__xludf.DUMMYFUNCTION("IFERROR(SUM(FILTER(FILTER('FY22 Budget'!$F$1:$AC$71,'FY22 Budget'!$F$1:$AC$1&gt;=(P$1),'FY22 Budget'!$F$1:$AC$1&lt;(Q$1)),'FY22 Budget'!$C$1:$C$71=$D60)),"""")"),145.84)</f>
        <v>145.84</v>
      </c>
      <c r="Q60" s="48"/>
      <c r="R60" s="60"/>
      <c r="S60" s="60">
        <f t="shared" ref="S60:AD60" si="59">SUM($E60:E60)</f>
        <v>145.84</v>
      </c>
      <c r="T60" s="60">
        <f t="shared" si="59"/>
        <v>2891.68</v>
      </c>
      <c r="U60" s="60">
        <f t="shared" si="59"/>
        <v>3037.52</v>
      </c>
      <c r="V60" s="60">
        <f t="shared" si="59"/>
        <v>3183.36</v>
      </c>
      <c r="W60" s="60">
        <f t="shared" si="59"/>
        <v>3329.2</v>
      </c>
      <c r="X60" s="60">
        <f t="shared" si="59"/>
        <v>3475.04</v>
      </c>
      <c r="Y60" s="60">
        <f t="shared" si="59"/>
        <v>3620.88</v>
      </c>
      <c r="Z60" s="60">
        <f t="shared" si="59"/>
        <v>3766.72</v>
      </c>
      <c r="AA60" s="60">
        <f t="shared" si="59"/>
        <v>3912.56</v>
      </c>
      <c r="AB60" s="60">
        <f t="shared" si="59"/>
        <v>4058.4</v>
      </c>
      <c r="AC60" s="60">
        <f t="shared" si="59"/>
        <v>4204.24</v>
      </c>
      <c r="AD60" s="60">
        <f t="shared" si="59"/>
        <v>4350.08</v>
      </c>
      <c r="AE60" s="48"/>
    </row>
    <row r="61" hidden="1">
      <c r="A61" s="41" t="s">
        <v>14</v>
      </c>
      <c r="B61" s="41" t="s">
        <v>35</v>
      </c>
      <c r="C61" s="41" t="s">
        <v>26</v>
      </c>
      <c r="D61" s="59" t="s">
        <v>106</v>
      </c>
      <c r="E61" s="60">
        <f>IFERROR(__xludf.DUMMYFUNCTION("IFERROR(SUM(FILTER(FILTER('FY22 Budget'!$F$1:$AC$71,'FY22 Budget'!$F$1:$AC$1&gt;=(E$1),'FY22 Budget'!$F$1:$AC$1&lt;(F$1)),'FY22 Budget'!$C$1:$C$71=$D61)),"""")"),57896.08)</f>
        <v>57896.08</v>
      </c>
      <c r="F61" s="60">
        <f>IFERROR(__xludf.DUMMYFUNCTION("IFERROR(SUM(FILTER(FILTER('FY22 Budget'!$F$1:$AC$71,'FY22 Budget'!$F$1:$AC$1&gt;=(F$1),'FY22 Budget'!$F$1:$AC$1&lt;(G$1)),'FY22 Budget'!$C$1:$C$71=$D61)),"""")"),57896.08)</f>
        <v>57896.08</v>
      </c>
      <c r="G61" s="60">
        <f>IFERROR(__xludf.DUMMYFUNCTION("IFERROR(SUM(FILTER(FILTER('FY22 Budget'!$F$1:$AC$71,'FY22 Budget'!$F$1:$AC$1&gt;=(G$1),'FY22 Budget'!$F$1:$AC$1&lt;(H$1)),'FY22 Budget'!$C$1:$C$71=$D61)),"""")"),57896.08)</f>
        <v>57896.08</v>
      </c>
      <c r="H61" s="60">
        <f>IFERROR(__xludf.DUMMYFUNCTION("IFERROR(SUM(FILTER(FILTER('FY22 Budget'!$F$1:$AC$71,'FY22 Budget'!$F$1:$AC$1&gt;=(H$1),'FY22 Budget'!$F$1:$AC$1&lt;(I$1)),'FY22 Budget'!$C$1:$C$71=$D61)),"""")"),57896.08)</f>
        <v>57896.08</v>
      </c>
      <c r="I61" s="60">
        <f>IFERROR(__xludf.DUMMYFUNCTION("IFERROR(SUM(FILTER(FILTER('FY22 Budget'!$F$1:$AC$71,'FY22 Budget'!$F$1:$AC$1&gt;=(I$1),'FY22 Budget'!$F$1:$AC$1&lt;(J$1)),'FY22 Budget'!$C$1:$C$71=$D61)),"""")"),57896.08)</f>
        <v>57896.08</v>
      </c>
      <c r="J61" s="60">
        <f>IFERROR(__xludf.DUMMYFUNCTION("IFERROR(SUM(FILTER(FILTER('FY22 Budget'!$F$1:$AC$71,'FY22 Budget'!$F$1:$AC$1&gt;=(J$1),'FY22 Budget'!$F$1:$AC$1&lt;(K$1)),'FY22 Budget'!$C$1:$C$71=$D61)),"""")"),57896.08)</f>
        <v>57896.08</v>
      </c>
      <c r="K61" s="60">
        <f>IFERROR(__xludf.DUMMYFUNCTION("IFERROR(SUM(FILTER(FILTER('FY22 Budget'!$F$1:$AC$71,'FY22 Budget'!$F$1:$AC$1&gt;=(K$1),'FY22 Budget'!$F$1:$AC$1&lt;(L$1)),'FY22 Budget'!$C$1:$C$71=$D61)),"""")"),57896.08)</f>
        <v>57896.08</v>
      </c>
      <c r="L61" s="60">
        <f>IFERROR(__xludf.DUMMYFUNCTION("IFERROR(SUM(FILTER(FILTER('FY22 Budget'!$F$1:$AC$71,'FY22 Budget'!$F$1:$AC$1&gt;=(L$1),'FY22 Budget'!$F$1:$AC$1&lt;(M$1)),'FY22 Budget'!$C$1:$C$71=$D61)),"""")"),57896.08)</f>
        <v>57896.08</v>
      </c>
      <c r="M61" s="60">
        <f>IFERROR(__xludf.DUMMYFUNCTION("IFERROR(SUM(FILTER(FILTER('FY22 Budget'!$F$1:$AC$71,'FY22 Budget'!$F$1:$AC$1&gt;=(M$1),'FY22 Budget'!$F$1:$AC$1&lt;(N$1)),'FY22 Budget'!$C$1:$C$71=$D61)),"""")"),57896.08)</f>
        <v>57896.08</v>
      </c>
      <c r="N61" s="60">
        <f>IFERROR(__xludf.DUMMYFUNCTION("IFERROR(SUM(FILTER(FILTER('FY22 Budget'!$F$1:$AC$71,'FY22 Budget'!$F$1:$AC$1&gt;=(N$1),'FY22 Budget'!$F$1:$AC$1&lt;(O$1)),'FY22 Budget'!$C$1:$C$71=$D61)),"""")"),57896.08)</f>
        <v>57896.08</v>
      </c>
      <c r="O61" s="60">
        <f>IFERROR(__xludf.DUMMYFUNCTION("IFERROR(SUM(FILTER(FILTER('FY22 Budget'!$F$1:$AC$71,'FY22 Budget'!$F$1:$AC$1&gt;=(O$1),'FY22 Budget'!$F$1:$AC$1&lt;(P$1)),'FY22 Budget'!$C$1:$C$71=$D61)),"""")"),57896.08)</f>
        <v>57896.08</v>
      </c>
      <c r="P61" s="60">
        <f>IFERROR(__xludf.DUMMYFUNCTION("IFERROR(SUM(FILTER(FILTER('FY22 Budget'!$F$1:$AC$71,'FY22 Budget'!$F$1:$AC$1&gt;=(P$1),'FY22 Budget'!$F$1:$AC$1&lt;(Q$1)),'FY22 Budget'!$C$1:$C$71=$D61)),"""")"),57896.08)</f>
        <v>57896.08</v>
      </c>
      <c r="Q61" s="48"/>
      <c r="R61" s="60"/>
      <c r="S61" s="60">
        <f t="shared" ref="S61:AD61" si="60">SUM($E61:E61)</f>
        <v>57896.08</v>
      </c>
      <c r="T61" s="60">
        <f t="shared" si="60"/>
        <v>115792.16</v>
      </c>
      <c r="U61" s="60">
        <f t="shared" si="60"/>
        <v>173688.24</v>
      </c>
      <c r="V61" s="60">
        <f t="shared" si="60"/>
        <v>231584.32</v>
      </c>
      <c r="W61" s="60">
        <f t="shared" si="60"/>
        <v>289480.4</v>
      </c>
      <c r="X61" s="60">
        <f t="shared" si="60"/>
        <v>347376.48</v>
      </c>
      <c r="Y61" s="60">
        <f t="shared" si="60"/>
        <v>405272.56</v>
      </c>
      <c r="Z61" s="60">
        <f t="shared" si="60"/>
        <v>463168.64</v>
      </c>
      <c r="AA61" s="60">
        <f t="shared" si="60"/>
        <v>521064.72</v>
      </c>
      <c r="AB61" s="60">
        <f t="shared" si="60"/>
        <v>578960.8</v>
      </c>
      <c r="AC61" s="60">
        <f t="shared" si="60"/>
        <v>636856.88</v>
      </c>
      <c r="AD61" s="60">
        <f t="shared" si="60"/>
        <v>694752.96</v>
      </c>
      <c r="AE61" s="48"/>
    </row>
    <row r="62" hidden="1">
      <c r="A62" s="41" t="s">
        <v>14</v>
      </c>
      <c r="B62" s="41" t="s">
        <v>35</v>
      </c>
      <c r="C62" s="41" t="s">
        <v>27</v>
      </c>
      <c r="D62" s="59" t="s">
        <v>107</v>
      </c>
      <c r="E62" s="60">
        <f>IFERROR(__xludf.DUMMYFUNCTION("IFERROR(SUM(FILTER(FILTER('FY22 Budget'!$F$1:$AC$71,'FY22 Budget'!$F$1:$AC$1&gt;=(E$1),'FY22 Budget'!$F$1:$AC$1&lt;(F$1)),'FY22 Budget'!$C$1:$C$71=$D62)),"""")"),0.0)</f>
        <v>0</v>
      </c>
      <c r="F62" s="60">
        <f>IFERROR(__xludf.DUMMYFUNCTION("IFERROR(SUM(FILTER(FILTER('FY22 Budget'!$F$1:$AC$71,'FY22 Budget'!$F$1:$AC$1&gt;=(F$1),'FY22 Budget'!$F$1:$AC$1&lt;(G$1)),'FY22 Budget'!$C$1:$C$71=$D62)),"""")"),527421.32)</f>
        <v>527421.32</v>
      </c>
      <c r="G62" s="60">
        <f>IFERROR(__xludf.DUMMYFUNCTION("IFERROR(SUM(FILTER(FILTER('FY22 Budget'!$F$1:$AC$71,'FY22 Budget'!$F$1:$AC$1&gt;=(G$1),'FY22 Budget'!$F$1:$AC$1&lt;(H$1)),'FY22 Budget'!$C$1:$C$71=$D62)),"""")"),0.0)</f>
        <v>0</v>
      </c>
      <c r="H62" s="60">
        <f>IFERROR(__xludf.DUMMYFUNCTION("IFERROR(SUM(FILTER(FILTER('FY22 Budget'!$F$1:$AC$71,'FY22 Budget'!$F$1:$AC$1&gt;=(H$1),'FY22 Budget'!$F$1:$AC$1&lt;(I$1)),'FY22 Budget'!$C$1:$C$71=$D62)),"""")"),0.0)</f>
        <v>0</v>
      </c>
      <c r="I62" s="60">
        <f>IFERROR(__xludf.DUMMYFUNCTION("IFERROR(SUM(FILTER(FILTER('FY22 Budget'!$F$1:$AC$71,'FY22 Budget'!$F$1:$AC$1&gt;=(I$1),'FY22 Budget'!$F$1:$AC$1&lt;(J$1)),'FY22 Budget'!$C$1:$C$71=$D62)),"""")"),0.0)</f>
        <v>0</v>
      </c>
      <c r="J62" s="60">
        <f>IFERROR(__xludf.DUMMYFUNCTION("IFERROR(SUM(FILTER(FILTER('FY22 Budget'!$F$1:$AC$71,'FY22 Budget'!$F$1:$AC$1&gt;=(J$1),'FY22 Budget'!$F$1:$AC$1&lt;(K$1)),'FY22 Budget'!$C$1:$C$71=$D62)),"""")"),0.0)</f>
        <v>0</v>
      </c>
      <c r="K62" s="60">
        <f>IFERROR(__xludf.DUMMYFUNCTION("IFERROR(SUM(FILTER(FILTER('FY22 Budget'!$F$1:$AC$71,'FY22 Budget'!$F$1:$AC$1&gt;=(K$1),'FY22 Budget'!$F$1:$AC$1&lt;(L$1)),'FY22 Budget'!$C$1:$C$71=$D62)),"""")"),0.0)</f>
        <v>0</v>
      </c>
      <c r="L62" s="60">
        <f>IFERROR(__xludf.DUMMYFUNCTION("IFERROR(SUM(FILTER(FILTER('FY22 Budget'!$F$1:$AC$71,'FY22 Budget'!$F$1:$AC$1&gt;=(L$1),'FY22 Budget'!$F$1:$AC$1&lt;(M$1)),'FY22 Budget'!$C$1:$C$71=$D62)),"""")"),0.0)</f>
        <v>0</v>
      </c>
      <c r="M62" s="60">
        <f>IFERROR(__xludf.DUMMYFUNCTION("IFERROR(SUM(FILTER(FILTER('FY22 Budget'!$F$1:$AC$71,'FY22 Budget'!$F$1:$AC$1&gt;=(M$1),'FY22 Budget'!$F$1:$AC$1&lt;(N$1)),'FY22 Budget'!$C$1:$C$71=$D62)),"""")"),0.0)</f>
        <v>0</v>
      </c>
      <c r="N62" s="60">
        <f>IFERROR(__xludf.DUMMYFUNCTION("IFERROR(SUM(FILTER(FILTER('FY22 Budget'!$F$1:$AC$71,'FY22 Budget'!$F$1:$AC$1&gt;=(N$1),'FY22 Budget'!$F$1:$AC$1&lt;(O$1)),'FY22 Budget'!$C$1:$C$71=$D62)),"""")"),0.0)</f>
        <v>0</v>
      </c>
      <c r="O62" s="60">
        <f>IFERROR(__xludf.DUMMYFUNCTION("IFERROR(SUM(FILTER(FILTER('FY22 Budget'!$F$1:$AC$71,'FY22 Budget'!$F$1:$AC$1&gt;=(O$1),'FY22 Budget'!$F$1:$AC$1&lt;(P$1)),'FY22 Budget'!$C$1:$C$71=$D62)),"""")"),0.0)</f>
        <v>0</v>
      </c>
      <c r="P62" s="60">
        <f>IFERROR(__xludf.DUMMYFUNCTION("IFERROR(SUM(FILTER(FILTER('FY22 Budget'!$F$1:$AC$71,'FY22 Budget'!$F$1:$AC$1&gt;=(P$1),'FY22 Budget'!$F$1:$AC$1&lt;(Q$1)),'FY22 Budget'!$C$1:$C$71=$D62)),"""")"),74700.0)</f>
        <v>74700</v>
      </c>
      <c r="Q62" s="48"/>
      <c r="R62" s="60"/>
      <c r="S62" s="60">
        <f t="shared" ref="S62:AD62" si="61">SUM($E62:E62)</f>
        <v>0</v>
      </c>
      <c r="T62" s="60">
        <f t="shared" si="61"/>
        <v>527421.32</v>
      </c>
      <c r="U62" s="60">
        <f t="shared" si="61"/>
        <v>527421.32</v>
      </c>
      <c r="V62" s="60">
        <f t="shared" si="61"/>
        <v>527421.32</v>
      </c>
      <c r="W62" s="60">
        <f t="shared" si="61"/>
        <v>527421.32</v>
      </c>
      <c r="X62" s="60">
        <f t="shared" si="61"/>
        <v>527421.32</v>
      </c>
      <c r="Y62" s="60">
        <f t="shared" si="61"/>
        <v>527421.32</v>
      </c>
      <c r="Z62" s="60">
        <f t="shared" si="61"/>
        <v>527421.32</v>
      </c>
      <c r="AA62" s="60">
        <f t="shared" si="61"/>
        <v>527421.32</v>
      </c>
      <c r="AB62" s="60">
        <f t="shared" si="61"/>
        <v>527421.32</v>
      </c>
      <c r="AC62" s="60">
        <f t="shared" si="61"/>
        <v>527421.32</v>
      </c>
      <c r="AD62" s="60">
        <f t="shared" si="61"/>
        <v>602121.32</v>
      </c>
      <c r="AE62" s="48"/>
    </row>
    <row r="63" hidden="1">
      <c r="A63" s="41" t="s">
        <v>14</v>
      </c>
      <c r="B63" s="41" t="s">
        <v>35</v>
      </c>
      <c r="C63" s="41" t="s">
        <v>27</v>
      </c>
      <c r="D63" s="59" t="s">
        <v>108</v>
      </c>
      <c r="E63" s="60">
        <f>IFERROR(__xludf.DUMMYFUNCTION("IFERROR(SUM(FILTER(FILTER('FY22 Budget'!$F$1:$AC$71,'FY22 Budget'!$F$1:$AC$1&gt;=(E$1),'FY22 Budget'!$F$1:$AC$1&lt;(F$1)),'FY22 Budget'!$C$1:$C$71=$D63)),"""")"),0.0)</f>
        <v>0</v>
      </c>
      <c r="F63" s="60">
        <f>IFERROR(__xludf.DUMMYFUNCTION("IFERROR(SUM(FILTER(FILTER('FY22 Budget'!$F$1:$AC$71,'FY22 Budget'!$F$1:$AC$1&gt;=(F$1),'FY22 Budget'!$F$1:$AC$1&lt;(G$1)),'FY22 Budget'!$C$1:$C$71=$D63)),"""")"),100.0)</f>
        <v>100</v>
      </c>
      <c r="G63" s="60">
        <f>IFERROR(__xludf.DUMMYFUNCTION("IFERROR(SUM(FILTER(FILTER('FY22 Budget'!$F$1:$AC$71,'FY22 Budget'!$F$1:$AC$1&gt;=(G$1),'FY22 Budget'!$F$1:$AC$1&lt;(H$1)),'FY22 Budget'!$C$1:$C$71=$D63)),"""")"),0.0)</f>
        <v>0</v>
      </c>
      <c r="H63" s="60">
        <f>IFERROR(__xludf.DUMMYFUNCTION("IFERROR(SUM(FILTER(FILTER('FY22 Budget'!$F$1:$AC$71,'FY22 Budget'!$F$1:$AC$1&gt;=(H$1),'FY22 Budget'!$F$1:$AC$1&lt;(I$1)),'FY22 Budget'!$C$1:$C$71=$D63)),"""")"),0.0)</f>
        <v>0</v>
      </c>
      <c r="I63" s="60">
        <f>IFERROR(__xludf.DUMMYFUNCTION("IFERROR(SUM(FILTER(FILTER('FY22 Budget'!$F$1:$AC$71,'FY22 Budget'!$F$1:$AC$1&gt;=(I$1),'FY22 Budget'!$F$1:$AC$1&lt;(J$1)),'FY22 Budget'!$C$1:$C$71=$D63)),"""")"),0.0)</f>
        <v>0</v>
      </c>
      <c r="J63" s="60">
        <f>IFERROR(__xludf.DUMMYFUNCTION("IFERROR(SUM(FILTER(FILTER('FY22 Budget'!$F$1:$AC$71,'FY22 Budget'!$F$1:$AC$1&gt;=(J$1),'FY22 Budget'!$F$1:$AC$1&lt;(K$1)),'FY22 Budget'!$C$1:$C$71=$D63)),"""")"),0.0)</f>
        <v>0</v>
      </c>
      <c r="K63" s="60">
        <f>IFERROR(__xludf.DUMMYFUNCTION("IFERROR(SUM(FILTER(FILTER('FY22 Budget'!$F$1:$AC$71,'FY22 Budget'!$F$1:$AC$1&gt;=(K$1),'FY22 Budget'!$F$1:$AC$1&lt;(L$1)),'FY22 Budget'!$C$1:$C$71=$D63)),"""")"),0.0)</f>
        <v>0</v>
      </c>
      <c r="L63" s="60">
        <f>IFERROR(__xludf.DUMMYFUNCTION("IFERROR(SUM(FILTER(FILTER('FY22 Budget'!$F$1:$AC$71,'FY22 Budget'!$F$1:$AC$1&gt;=(L$1),'FY22 Budget'!$F$1:$AC$1&lt;(M$1)),'FY22 Budget'!$C$1:$C$71=$D63)),"""")"),0.0)</f>
        <v>0</v>
      </c>
      <c r="M63" s="60">
        <f>IFERROR(__xludf.DUMMYFUNCTION("IFERROR(SUM(FILTER(FILTER('FY22 Budget'!$F$1:$AC$71,'FY22 Budget'!$F$1:$AC$1&gt;=(M$1),'FY22 Budget'!$F$1:$AC$1&lt;(N$1)),'FY22 Budget'!$C$1:$C$71=$D63)),"""")"),0.0)</f>
        <v>0</v>
      </c>
      <c r="N63" s="60">
        <f>IFERROR(__xludf.DUMMYFUNCTION("IFERROR(SUM(FILTER(FILTER('FY22 Budget'!$F$1:$AC$71,'FY22 Budget'!$F$1:$AC$1&gt;=(N$1),'FY22 Budget'!$F$1:$AC$1&lt;(O$1)),'FY22 Budget'!$C$1:$C$71=$D63)),"""")"),0.0)</f>
        <v>0</v>
      </c>
      <c r="O63" s="60">
        <f>IFERROR(__xludf.DUMMYFUNCTION("IFERROR(SUM(FILTER(FILTER('FY22 Budget'!$F$1:$AC$71,'FY22 Budget'!$F$1:$AC$1&gt;=(O$1),'FY22 Budget'!$F$1:$AC$1&lt;(P$1)),'FY22 Budget'!$C$1:$C$71=$D63)),"""")"),0.0)</f>
        <v>0</v>
      </c>
      <c r="P63" s="60">
        <f>IFERROR(__xludf.DUMMYFUNCTION("IFERROR(SUM(FILTER(FILTER('FY22 Budget'!$F$1:$AC$71,'FY22 Budget'!$F$1:$AC$1&gt;=(P$1),'FY22 Budget'!$F$1:$AC$1&lt;(Q$1)),'FY22 Budget'!$C$1:$C$71=$D63)),"""")"),0.0)</f>
        <v>0</v>
      </c>
      <c r="Q63" s="48"/>
      <c r="R63" s="60"/>
      <c r="S63" s="60">
        <f t="shared" ref="S63:AD63" si="62">SUM($E63:E63)</f>
        <v>0</v>
      </c>
      <c r="T63" s="60">
        <f t="shared" si="62"/>
        <v>100</v>
      </c>
      <c r="U63" s="60">
        <f t="shared" si="62"/>
        <v>100</v>
      </c>
      <c r="V63" s="60">
        <f t="shared" si="62"/>
        <v>100</v>
      </c>
      <c r="W63" s="60">
        <f t="shared" si="62"/>
        <v>100</v>
      </c>
      <c r="X63" s="60">
        <f t="shared" si="62"/>
        <v>100</v>
      </c>
      <c r="Y63" s="60">
        <f t="shared" si="62"/>
        <v>100</v>
      </c>
      <c r="Z63" s="60">
        <f t="shared" si="62"/>
        <v>100</v>
      </c>
      <c r="AA63" s="60">
        <f t="shared" si="62"/>
        <v>100</v>
      </c>
      <c r="AB63" s="60">
        <f t="shared" si="62"/>
        <v>100</v>
      </c>
      <c r="AC63" s="60">
        <f t="shared" si="62"/>
        <v>100</v>
      </c>
      <c r="AD63" s="60">
        <f t="shared" si="62"/>
        <v>100</v>
      </c>
      <c r="AE63" s="48"/>
    </row>
    <row r="64" hidden="1">
      <c r="A64" s="41" t="s">
        <v>14</v>
      </c>
      <c r="B64" s="41" t="s">
        <v>35</v>
      </c>
      <c r="C64" s="41" t="s">
        <v>27</v>
      </c>
      <c r="D64" s="59" t="s">
        <v>109</v>
      </c>
      <c r="E64" s="60">
        <f>IFERROR(__xludf.DUMMYFUNCTION("IFERROR(SUM(FILTER(FILTER('FY22 Budget'!$F$1:$AC$71,'FY22 Budget'!$F$1:$AC$1&gt;=(E$1),'FY22 Budget'!$F$1:$AC$1&lt;(F$1)),'FY22 Budget'!$C$1:$C$71=$D64)),"""")"),0.0)</f>
        <v>0</v>
      </c>
      <c r="F64" s="60">
        <f>IFERROR(__xludf.DUMMYFUNCTION("IFERROR(SUM(FILTER(FILTER('FY22 Budget'!$F$1:$AC$71,'FY22 Budget'!$F$1:$AC$1&gt;=(F$1),'FY22 Budget'!$F$1:$AC$1&lt;(G$1)),'FY22 Budget'!$C$1:$C$71=$D64)),"""")"),1800.0)</f>
        <v>1800</v>
      </c>
      <c r="G64" s="60">
        <f>IFERROR(__xludf.DUMMYFUNCTION("IFERROR(SUM(FILTER(FILTER('FY22 Budget'!$F$1:$AC$71,'FY22 Budget'!$F$1:$AC$1&gt;=(G$1),'FY22 Budget'!$F$1:$AC$1&lt;(H$1)),'FY22 Budget'!$C$1:$C$71=$D64)),"""")"),0.0)</f>
        <v>0</v>
      </c>
      <c r="H64" s="60">
        <f>IFERROR(__xludf.DUMMYFUNCTION("IFERROR(SUM(FILTER(FILTER('FY22 Budget'!$F$1:$AC$71,'FY22 Budget'!$F$1:$AC$1&gt;=(H$1),'FY22 Budget'!$F$1:$AC$1&lt;(I$1)),'FY22 Budget'!$C$1:$C$71=$D64)),"""")"),0.0)</f>
        <v>0</v>
      </c>
      <c r="I64" s="60">
        <f>IFERROR(__xludf.DUMMYFUNCTION("IFERROR(SUM(FILTER(FILTER('FY22 Budget'!$F$1:$AC$71,'FY22 Budget'!$F$1:$AC$1&gt;=(I$1),'FY22 Budget'!$F$1:$AC$1&lt;(J$1)),'FY22 Budget'!$C$1:$C$71=$D64)),"""")"),0.0)</f>
        <v>0</v>
      </c>
      <c r="J64" s="60">
        <f>IFERROR(__xludf.DUMMYFUNCTION("IFERROR(SUM(FILTER(FILTER('FY22 Budget'!$F$1:$AC$71,'FY22 Budget'!$F$1:$AC$1&gt;=(J$1),'FY22 Budget'!$F$1:$AC$1&lt;(K$1)),'FY22 Budget'!$C$1:$C$71=$D64)),"""")"),0.0)</f>
        <v>0</v>
      </c>
      <c r="K64" s="60">
        <f>IFERROR(__xludf.DUMMYFUNCTION("IFERROR(SUM(FILTER(FILTER('FY22 Budget'!$F$1:$AC$71,'FY22 Budget'!$F$1:$AC$1&gt;=(K$1),'FY22 Budget'!$F$1:$AC$1&lt;(L$1)),'FY22 Budget'!$C$1:$C$71=$D64)),"""")"),0.0)</f>
        <v>0</v>
      </c>
      <c r="L64" s="60">
        <f>IFERROR(__xludf.DUMMYFUNCTION("IFERROR(SUM(FILTER(FILTER('FY22 Budget'!$F$1:$AC$71,'FY22 Budget'!$F$1:$AC$1&gt;=(L$1),'FY22 Budget'!$F$1:$AC$1&lt;(M$1)),'FY22 Budget'!$C$1:$C$71=$D64)),"""")"),0.0)</f>
        <v>0</v>
      </c>
      <c r="M64" s="60">
        <f>IFERROR(__xludf.DUMMYFUNCTION("IFERROR(SUM(FILTER(FILTER('FY22 Budget'!$F$1:$AC$71,'FY22 Budget'!$F$1:$AC$1&gt;=(M$1),'FY22 Budget'!$F$1:$AC$1&lt;(N$1)),'FY22 Budget'!$C$1:$C$71=$D64)),"""")"),0.0)</f>
        <v>0</v>
      </c>
      <c r="N64" s="60">
        <f>IFERROR(__xludf.DUMMYFUNCTION("IFERROR(SUM(FILTER(FILTER('FY22 Budget'!$F$1:$AC$71,'FY22 Budget'!$F$1:$AC$1&gt;=(N$1),'FY22 Budget'!$F$1:$AC$1&lt;(O$1)),'FY22 Budget'!$C$1:$C$71=$D64)),"""")"),0.0)</f>
        <v>0</v>
      </c>
      <c r="O64" s="60">
        <f>IFERROR(__xludf.DUMMYFUNCTION("IFERROR(SUM(FILTER(FILTER('FY22 Budget'!$F$1:$AC$71,'FY22 Budget'!$F$1:$AC$1&gt;=(O$1),'FY22 Budget'!$F$1:$AC$1&lt;(P$1)),'FY22 Budget'!$C$1:$C$71=$D64)),"""")"),0.0)</f>
        <v>0</v>
      </c>
      <c r="P64" s="60">
        <f>IFERROR(__xludf.DUMMYFUNCTION("IFERROR(SUM(FILTER(FILTER('FY22 Budget'!$F$1:$AC$71,'FY22 Budget'!$F$1:$AC$1&gt;=(P$1),'FY22 Budget'!$F$1:$AC$1&lt;(Q$1)),'FY22 Budget'!$C$1:$C$71=$D64)),"""")"),0.0)</f>
        <v>0</v>
      </c>
      <c r="Q64" s="48"/>
      <c r="R64" s="60"/>
      <c r="S64" s="60">
        <f t="shared" ref="S64:AD64" si="63">SUM($E64:E64)</f>
        <v>0</v>
      </c>
      <c r="T64" s="60">
        <f t="shared" si="63"/>
        <v>1800</v>
      </c>
      <c r="U64" s="60">
        <f t="shared" si="63"/>
        <v>1800</v>
      </c>
      <c r="V64" s="60">
        <f t="shared" si="63"/>
        <v>1800</v>
      </c>
      <c r="W64" s="60">
        <f t="shared" si="63"/>
        <v>1800</v>
      </c>
      <c r="X64" s="60">
        <f t="shared" si="63"/>
        <v>1800</v>
      </c>
      <c r="Y64" s="60">
        <f t="shared" si="63"/>
        <v>1800</v>
      </c>
      <c r="Z64" s="60">
        <f t="shared" si="63"/>
        <v>1800</v>
      </c>
      <c r="AA64" s="60">
        <f t="shared" si="63"/>
        <v>1800</v>
      </c>
      <c r="AB64" s="60">
        <f t="shared" si="63"/>
        <v>1800</v>
      </c>
      <c r="AC64" s="60">
        <f t="shared" si="63"/>
        <v>1800</v>
      </c>
      <c r="AD64" s="60">
        <f t="shared" si="63"/>
        <v>1800</v>
      </c>
      <c r="AE64" s="48"/>
    </row>
    <row r="65" hidden="1">
      <c r="A65" s="41" t="s">
        <v>14</v>
      </c>
      <c r="B65" s="41" t="s">
        <v>35</v>
      </c>
      <c r="C65" s="41" t="s">
        <v>31</v>
      </c>
      <c r="D65" s="59" t="s">
        <v>110</v>
      </c>
      <c r="E65" s="60">
        <f>IFERROR(__xludf.DUMMYFUNCTION("IFERROR(SUM(FILTER(FILTER('FY22 Budget'!$F$1:$AC$71,'FY22 Budget'!$F$1:$AC$1&gt;=(E$1),'FY22 Budget'!$F$1:$AC$1&lt;(F$1)),'FY22 Budget'!$C$1:$C$71=$D65)),"""")"),234.33)</f>
        <v>234.33</v>
      </c>
      <c r="F65" s="60">
        <f>IFERROR(__xludf.DUMMYFUNCTION("IFERROR(SUM(FILTER(FILTER('FY22 Budget'!$F$1:$AC$71,'FY22 Budget'!$F$1:$AC$1&gt;=(F$1),'FY22 Budget'!$F$1:$AC$1&lt;(G$1)),'FY22 Budget'!$C$1:$C$71=$D65)),"""")"),234.33)</f>
        <v>234.33</v>
      </c>
      <c r="G65" s="60">
        <f>IFERROR(__xludf.DUMMYFUNCTION("IFERROR(SUM(FILTER(FILTER('FY22 Budget'!$F$1:$AC$71,'FY22 Budget'!$F$1:$AC$1&gt;=(G$1),'FY22 Budget'!$F$1:$AC$1&lt;(H$1)),'FY22 Budget'!$C$1:$C$71=$D65)),"""")"),234.33)</f>
        <v>234.33</v>
      </c>
      <c r="H65" s="60">
        <f>IFERROR(__xludf.DUMMYFUNCTION("IFERROR(SUM(FILTER(FILTER('FY22 Budget'!$F$1:$AC$71,'FY22 Budget'!$F$1:$AC$1&gt;=(H$1),'FY22 Budget'!$F$1:$AC$1&lt;(I$1)),'FY22 Budget'!$C$1:$C$71=$D65)),"""")"),234.33)</f>
        <v>234.33</v>
      </c>
      <c r="I65" s="60">
        <f>IFERROR(__xludf.DUMMYFUNCTION("IFERROR(SUM(FILTER(FILTER('FY22 Budget'!$F$1:$AC$71,'FY22 Budget'!$F$1:$AC$1&gt;=(I$1),'FY22 Budget'!$F$1:$AC$1&lt;(J$1)),'FY22 Budget'!$C$1:$C$71=$D65)),"""")"),234.33)</f>
        <v>234.33</v>
      </c>
      <c r="J65" s="60">
        <f>IFERROR(__xludf.DUMMYFUNCTION("IFERROR(SUM(FILTER(FILTER('FY22 Budget'!$F$1:$AC$71,'FY22 Budget'!$F$1:$AC$1&gt;=(J$1),'FY22 Budget'!$F$1:$AC$1&lt;(K$1)),'FY22 Budget'!$C$1:$C$71=$D65)),"""")"),234.33)</f>
        <v>234.33</v>
      </c>
      <c r="K65" s="60">
        <f>IFERROR(__xludf.DUMMYFUNCTION("IFERROR(SUM(FILTER(FILTER('FY22 Budget'!$F$1:$AC$71,'FY22 Budget'!$F$1:$AC$1&gt;=(K$1),'FY22 Budget'!$F$1:$AC$1&lt;(L$1)),'FY22 Budget'!$C$1:$C$71=$D65)),"""")"),234.33)</f>
        <v>234.33</v>
      </c>
      <c r="L65" s="60">
        <f>IFERROR(__xludf.DUMMYFUNCTION("IFERROR(SUM(FILTER(FILTER('FY22 Budget'!$F$1:$AC$71,'FY22 Budget'!$F$1:$AC$1&gt;=(L$1),'FY22 Budget'!$F$1:$AC$1&lt;(M$1)),'FY22 Budget'!$C$1:$C$71=$D65)),"""")"),234.33)</f>
        <v>234.33</v>
      </c>
      <c r="M65" s="60">
        <f>IFERROR(__xludf.DUMMYFUNCTION("IFERROR(SUM(FILTER(FILTER('FY22 Budget'!$F$1:$AC$71,'FY22 Budget'!$F$1:$AC$1&gt;=(M$1),'FY22 Budget'!$F$1:$AC$1&lt;(N$1)),'FY22 Budget'!$C$1:$C$71=$D65)),"""")"),234.33)</f>
        <v>234.33</v>
      </c>
      <c r="N65" s="60">
        <f>IFERROR(__xludf.DUMMYFUNCTION("IFERROR(SUM(FILTER(FILTER('FY22 Budget'!$F$1:$AC$71,'FY22 Budget'!$F$1:$AC$1&gt;=(N$1),'FY22 Budget'!$F$1:$AC$1&lt;(O$1)),'FY22 Budget'!$C$1:$C$71=$D65)),"""")"),234.33)</f>
        <v>234.33</v>
      </c>
      <c r="O65" s="60">
        <f>IFERROR(__xludf.DUMMYFUNCTION("IFERROR(SUM(FILTER(FILTER('FY22 Budget'!$F$1:$AC$71,'FY22 Budget'!$F$1:$AC$1&gt;=(O$1),'FY22 Budget'!$F$1:$AC$1&lt;(P$1)),'FY22 Budget'!$C$1:$C$71=$D65)),"""")"),234.33)</f>
        <v>234.33</v>
      </c>
      <c r="P65" s="60">
        <f>IFERROR(__xludf.DUMMYFUNCTION("IFERROR(SUM(FILTER(FILTER('FY22 Budget'!$F$1:$AC$71,'FY22 Budget'!$F$1:$AC$1&gt;=(P$1),'FY22 Budget'!$F$1:$AC$1&lt;(Q$1)),'FY22 Budget'!$C$1:$C$71=$D65)),"""")"),234.33)</f>
        <v>234.33</v>
      </c>
      <c r="Q65" s="48"/>
      <c r="R65" s="60"/>
      <c r="S65" s="60">
        <f t="shared" ref="S65:AD65" si="64">SUM($E65:E65)</f>
        <v>234.33</v>
      </c>
      <c r="T65" s="60">
        <f t="shared" si="64"/>
        <v>468.66</v>
      </c>
      <c r="U65" s="60">
        <f t="shared" si="64"/>
        <v>702.99</v>
      </c>
      <c r="V65" s="60">
        <f t="shared" si="64"/>
        <v>937.32</v>
      </c>
      <c r="W65" s="60">
        <f t="shared" si="64"/>
        <v>1171.65</v>
      </c>
      <c r="X65" s="60">
        <f t="shared" si="64"/>
        <v>1405.98</v>
      </c>
      <c r="Y65" s="60">
        <f t="shared" si="64"/>
        <v>1640.31</v>
      </c>
      <c r="Z65" s="60">
        <f t="shared" si="64"/>
        <v>1874.64</v>
      </c>
      <c r="AA65" s="60">
        <f t="shared" si="64"/>
        <v>2108.97</v>
      </c>
      <c r="AB65" s="60">
        <f t="shared" si="64"/>
        <v>2343.3</v>
      </c>
      <c r="AC65" s="60">
        <f t="shared" si="64"/>
        <v>2577.63</v>
      </c>
      <c r="AD65" s="60">
        <f t="shared" si="64"/>
        <v>2811.96</v>
      </c>
      <c r="AE65" s="48"/>
    </row>
    <row r="66" hidden="1">
      <c r="A66" s="41" t="s">
        <v>14</v>
      </c>
      <c r="B66" s="41" t="s">
        <v>35</v>
      </c>
      <c r="C66" s="41" t="s">
        <v>31</v>
      </c>
      <c r="D66" s="59" t="s">
        <v>111</v>
      </c>
      <c r="E66" s="60">
        <f>IFERROR(__xludf.DUMMYFUNCTION("IFERROR(SUM(FILTER(FILTER('FY22 Budget'!$F$1:$AC$71,'FY22 Budget'!$F$1:$AC$1&gt;=(E$1),'FY22 Budget'!$F$1:$AC$1&lt;(F$1)),'FY22 Budget'!$C$1:$C$71=$D66)),"""")"),495.0)</f>
        <v>495</v>
      </c>
      <c r="F66" s="60">
        <f>IFERROR(__xludf.DUMMYFUNCTION("IFERROR(SUM(FILTER(FILTER('FY22 Budget'!$F$1:$AC$71,'FY22 Budget'!$F$1:$AC$1&gt;=(F$1),'FY22 Budget'!$F$1:$AC$1&lt;(G$1)),'FY22 Budget'!$C$1:$C$71=$D66)),"""")"),495.0)</f>
        <v>495</v>
      </c>
      <c r="G66" s="60">
        <f>IFERROR(__xludf.DUMMYFUNCTION("IFERROR(SUM(FILTER(FILTER('FY22 Budget'!$F$1:$AC$71,'FY22 Budget'!$F$1:$AC$1&gt;=(G$1),'FY22 Budget'!$F$1:$AC$1&lt;(H$1)),'FY22 Budget'!$C$1:$C$71=$D66)),"""")"),495.0)</f>
        <v>495</v>
      </c>
      <c r="H66" s="60">
        <f>IFERROR(__xludf.DUMMYFUNCTION("IFERROR(SUM(FILTER(FILTER('FY22 Budget'!$F$1:$AC$71,'FY22 Budget'!$F$1:$AC$1&gt;=(H$1),'FY22 Budget'!$F$1:$AC$1&lt;(I$1)),'FY22 Budget'!$C$1:$C$71=$D66)),"""")"),495.0)</f>
        <v>495</v>
      </c>
      <c r="I66" s="60">
        <f>IFERROR(__xludf.DUMMYFUNCTION("IFERROR(SUM(FILTER(FILTER('FY22 Budget'!$F$1:$AC$71,'FY22 Budget'!$F$1:$AC$1&gt;=(I$1),'FY22 Budget'!$F$1:$AC$1&lt;(J$1)),'FY22 Budget'!$C$1:$C$71=$D66)),"""")"),495.0)</f>
        <v>495</v>
      </c>
      <c r="J66" s="60">
        <f>IFERROR(__xludf.DUMMYFUNCTION("IFERROR(SUM(FILTER(FILTER('FY22 Budget'!$F$1:$AC$71,'FY22 Budget'!$F$1:$AC$1&gt;=(J$1),'FY22 Budget'!$F$1:$AC$1&lt;(K$1)),'FY22 Budget'!$C$1:$C$71=$D66)),"""")"),495.0)</f>
        <v>495</v>
      </c>
      <c r="K66" s="60">
        <f>IFERROR(__xludf.DUMMYFUNCTION("IFERROR(SUM(FILTER(FILTER('FY22 Budget'!$F$1:$AC$71,'FY22 Budget'!$F$1:$AC$1&gt;=(K$1),'FY22 Budget'!$F$1:$AC$1&lt;(L$1)),'FY22 Budget'!$C$1:$C$71=$D66)),"""")"),495.0)</f>
        <v>495</v>
      </c>
      <c r="L66" s="60">
        <f>IFERROR(__xludf.DUMMYFUNCTION("IFERROR(SUM(FILTER(FILTER('FY22 Budget'!$F$1:$AC$71,'FY22 Budget'!$F$1:$AC$1&gt;=(L$1),'FY22 Budget'!$F$1:$AC$1&lt;(M$1)),'FY22 Budget'!$C$1:$C$71=$D66)),"""")"),495.0)</f>
        <v>495</v>
      </c>
      <c r="M66" s="60">
        <f>IFERROR(__xludf.DUMMYFUNCTION("IFERROR(SUM(FILTER(FILTER('FY22 Budget'!$F$1:$AC$71,'FY22 Budget'!$F$1:$AC$1&gt;=(M$1),'FY22 Budget'!$F$1:$AC$1&lt;(N$1)),'FY22 Budget'!$C$1:$C$71=$D66)),"""")"),495.0)</f>
        <v>495</v>
      </c>
      <c r="N66" s="60">
        <f>IFERROR(__xludf.DUMMYFUNCTION("IFERROR(SUM(FILTER(FILTER('FY22 Budget'!$F$1:$AC$71,'FY22 Budget'!$F$1:$AC$1&gt;=(N$1),'FY22 Budget'!$F$1:$AC$1&lt;(O$1)),'FY22 Budget'!$C$1:$C$71=$D66)),"""")"),495.0)</f>
        <v>495</v>
      </c>
      <c r="O66" s="60">
        <f>IFERROR(__xludf.DUMMYFUNCTION("IFERROR(SUM(FILTER(FILTER('FY22 Budget'!$F$1:$AC$71,'FY22 Budget'!$F$1:$AC$1&gt;=(O$1),'FY22 Budget'!$F$1:$AC$1&lt;(P$1)),'FY22 Budget'!$C$1:$C$71=$D66)),"""")"),495.0)</f>
        <v>495</v>
      </c>
      <c r="P66" s="60">
        <f>IFERROR(__xludf.DUMMYFUNCTION("IFERROR(SUM(FILTER(FILTER('FY22 Budget'!$F$1:$AC$71,'FY22 Budget'!$F$1:$AC$1&gt;=(P$1),'FY22 Budget'!$F$1:$AC$1&lt;(Q$1)),'FY22 Budget'!$C$1:$C$71=$D66)),"""")"),495.0)</f>
        <v>495</v>
      </c>
      <c r="Q66" s="48"/>
      <c r="R66" s="60"/>
      <c r="S66" s="60">
        <f t="shared" ref="S66:AD66" si="65">SUM($E66:E66)</f>
        <v>495</v>
      </c>
      <c r="T66" s="60">
        <f t="shared" si="65"/>
        <v>990</v>
      </c>
      <c r="U66" s="60">
        <f t="shared" si="65"/>
        <v>1485</v>
      </c>
      <c r="V66" s="60">
        <f t="shared" si="65"/>
        <v>1980</v>
      </c>
      <c r="W66" s="60">
        <f t="shared" si="65"/>
        <v>2475</v>
      </c>
      <c r="X66" s="60">
        <f t="shared" si="65"/>
        <v>2970</v>
      </c>
      <c r="Y66" s="60">
        <f t="shared" si="65"/>
        <v>3465</v>
      </c>
      <c r="Z66" s="60">
        <f t="shared" si="65"/>
        <v>3960</v>
      </c>
      <c r="AA66" s="60">
        <f t="shared" si="65"/>
        <v>4455</v>
      </c>
      <c r="AB66" s="60">
        <f t="shared" si="65"/>
        <v>4950</v>
      </c>
      <c r="AC66" s="60">
        <f t="shared" si="65"/>
        <v>5445</v>
      </c>
      <c r="AD66" s="60">
        <f t="shared" si="65"/>
        <v>5940</v>
      </c>
      <c r="AE66" s="48"/>
    </row>
    <row r="67" hidden="1">
      <c r="A67" s="41" t="s">
        <v>14</v>
      </c>
      <c r="B67" s="41" t="s">
        <v>35</v>
      </c>
      <c r="C67" s="41" t="s">
        <v>29</v>
      </c>
      <c r="D67" s="59" t="s">
        <v>112</v>
      </c>
      <c r="E67" s="60">
        <f>IFERROR(__xludf.DUMMYFUNCTION("IFERROR(SUM(FILTER(FILTER('FY22 Budget'!$F$1:$AC$71,'FY22 Budget'!$F$1:$AC$1&gt;=(E$1),'FY22 Budget'!$F$1:$AC$1&lt;(F$1)),'FY22 Budget'!$C$1:$C$71=$D67)),"""")"),7.0)</f>
        <v>7</v>
      </c>
      <c r="F67" s="60">
        <f>IFERROR(__xludf.DUMMYFUNCTION("IFERROR(SUM(FILTER(FILTER('FY22 Budget'!$F$1:$AC$71,'FY22 Budget'!$F$1:$AC$1&gt;=(F$1),'FY22 Budget'!$F$1:$AC$1&lt;(G$1)),'FY22 Budget'!$C$1:$C$71=$D67)),"""")"),0.0)</f>
        <v>0</v>
      </c>
      <c r="G67" s="60">
        <f>IFERROR(__xludf.DUMMYFUNCTION("IFERROR(SUM(FILTER(FILTER('FY22 Budget'!$F$1:$AC$71,'FY22 Budget'!$F$1:$AC$1&gt;=(G$1),'FY22 Budget'!$F$1:$AC$1&lt;(H$1)),'FY22 Budget'!$C$1:$C$71=$D67)),"""")"),0.0)</f>
        <v>0</v>
      </c>
      <c r="H67" s="60">
        <f>IFERROR(__xludf.DUMMYFUNCTION("IFERROR(SUM(FILTER(FILTER('FY22 Budget'!$F$1:$AC$71,'FY22 Budget'!$F$1:$AC$1&gt;=(H$1),'FY22 Budget'!$F$1:$AC$1&lt;(I$1)),'FY22 Budget'!$C$1:$C$71=$D67)),"""")"),0.0)</f>
        <v>0</v>
      </c>
      <c r="I67" s="60">
        <f>IFERROR(__xludf.DUMMYFUNCTION("IFERROR(SUM(FILTER(FILTER('FY22 Budget'!$F$1:$AC$71,'FY22 Budget'!$F$1:$AC$1&gt;=(I$1),'FY22 Budget'!$F$1:$AC$1&lt;(J$1)),'FY22 Budget'!$C$1:$C$71=$D67)),"""")"),0.0)</f>
        <v>0</v>
      </c>
      <c r="J67" s="60">
        <f>IFERROR(__xludf.DUMMYFUNCTION("IFERROR(SUM(FILTER(FILTER('FY22 Budget'!$F$1:$AC$71,'FY22 Budget'!$F$1:$AC$1&gt;=(J$1),'FY22 Budget'!$F$1:$AC$1&lt;(K$1)),'FY22 Budget'!$C$1:$C$71=$D67)),"""")"),0.0)</f>
        <v>0</v>
      </c>
      <c r="K67" s="60">
        <f>IFERROR(__xludf.DUMMYFUNCTION("IFERROR(SUM(FILTER(FILTER('FY22 Budget'!$F$1:$AC$71,'FY22 Budget'!$F$1:$AC$1&gt;=(K$1),'FY22 Budget'!$F$1:$AC$1&lt;(L$1)),'FY22 Budget'!$C$1:$C$71=$D67)),"""")"),0.0)</f>
        <v>0</v>
      </c>
      <c r="L67" s="60">
        <f>IFERROR(__xludf.DUMMYFUNCTION("IFERROR(SUM(FILTER(FILTER('FY22 Budget'!$F$1:$AC$71,'FY22 Budget'!$F$1:$AC$1&gt;=(L$1),'FY22 Budget'!$F$1:$AC$1&lt;(M$1)),'FY22 Budget'!$C$1:$C$71=$D67)),"""")"),0.0)</f>
        <v>0</v>
      </c>
      <c r="M67" s="60">
        <f>IFERROR(__xludf.DUMMYFUNCTION("IFERROR(SUM(FILTER(FILTER('FY22 Budget'!$F$1:$AC$71,'FY22 Budget'!$F$1:$AC$1&gt;=(M$1),'FY22 Budget'!$F$1:$AC$1&lt;(N$1)),'FY22 Budget'!$C$1:$C$71=$D67)),"""")"),0.0)</f>
        <v>0</v>
      </c>
      <c r="N67" s="60">
        <f>IFERROR(__xludf.DUMMYFUNCTION("IFERROR(SUM(FILTER(FILTER('FY22 Budget'!$F$1:$AC$71,'FY22 Budget'!$F$1:$AC$1&gt;=(N$1),'FY22 Budget'!$F$1:$AC$1&lt;(O$1)),'FY22 Budget'!$C$1:$C$71=$D67)),"""")"),0.0)</f>
        <v>0</v>
      </c>
      <c r="O67" s="60">
        <f>IFERROR(__xludf.DUMMYFUNCTION("IFERROR(SUM(FILTER(FILTER('FY22 Budget'!$F$1:$AC$71,'FY22 Budget'!$F$1:$AC$1&gt;=(O$1),'FY22 Budget'!$F$1:$AC$1&lt;(P$1)),'FY22 Budget'!$C$1:$C$71=$D67)),"""")"),0.0)</f>
        <v>0</v>
      </c>
      <c r="P67" s="60">
        <f>IFERROR(__xludf.DUMMYFUNCTION("IFERROR(SUM(FILTER(FILTER('FY22 Budget'!$F$1:$AC$71,'FY22 Budget'!$F$1:$AC$1&gt;=(P$1),'FY22 Budget'!$F$1:$AC$1&lt;(Q$1)),'FY22 Budget'!$C$1:$C$71=$D67)),"""")"),0.0)</f>
        <v>0</v>
      </c>
      <c r="Q67" s="48"/>
      <c r="R67" s="60"/>
      <c r="S67" s="60">
        <f t="shared" ref="S67:AD67" si="66">SUM($E67:E67)</f>
        <v>7</v>
      </c>
      <c r="T67" s="60">
        <f t="shared" si="66"/>
        <v>7</v>
      </c>
      <c r="U67" s="60">
        <f t="shared" si="66"/>
        <v>7</v>
      </c>
      <c r="V67" s="60">
        <f t="shared" si="66"/>
        <v>7</v>
      </c>
      <c r="W67" s="60">
        <f t="shared" si="66"/>
        <v>7</v>
      </c>
      <c r="X67" s="60">
        <f t="shared" si="66"/>
        <v>7</v>
      </c>
      <c r="Y67" s="60">
        <f t="shared" si="66"/>
        <v>7</v>
      </c>
      <c r="Z67" s="60">
        <f t="shared" si="66"/>
        <v>7</v>
      </c>
      <c r="AA67" s="60">
        <f t="shared" si="66"/>
        <v>7</v>
      </c>
      <c r="AB67" s="60">
        <f t="shared" si="66"/>
        <v>7</v>
      </c>
      <c r="AC67" s="60">
        <f t="shared" si="66"/>
        <v>7</v>
      </c>
      <c r="AD67" s="60">
        <f t="shared" si="66"/>
        <v>7</v>
      </c>
      <c r="AE67" s="48"/>
    </row>
    <row r="68" hidden="1">
      <c r="A68" s="41" t="s">
        <v>14</v>
      </c>
      <c r="B68" s="41" t="s">
        <v>35</v>
      </c>
      <c r="C68" s="41" t="s">
        <v>29</v>
      </c>
      <c r="D68" s="59" t="s">
        <v>113</v>
      </c>
      <c r="E68" s="60">
        <f>IFERROR(__xludf.DUMMYFUNCTION("IFERROR(SUM(FILTER(FILTER('FY22 Budget'!$F$1:$AC$71,'FY22 Budget'!$F$1:$AC$1&gt;=(E$1),'FY22 Budget'!$F$1:$AC$1&lt;(F$1)),'FY22 Budget'!$C$1:$C$71=$D68)),"""")"),744.05)</f>
        <v>744.05</v>
      </c>
      <c r="F68" s="60">
        <f>IFERROR(__xludf.DUMMYFUNCTION("IFERROR(SUM(FILTER(FILTER('FY22 Budget'!$F$1:$AC$71,'FY22 Budget'!$F$1:$AC$1&gt;=(F$1),'FY22 Budget'!$F$1:$AC$1&lt;(G$1)),'FY22 Budget'!$C$1:$C$71=$D68)),"""")"),0.0)</f>
        <v>0</v>
      </c>
      <c r="G68" s="60">
        <f>IFERROR(__xludf.DUMMYFUNCTION("IFERROR(SUM(FILTER(FILTER('FY22 Budget'!$F$1:$AC$71,'FY22 Budget'!$F$1:$AC$1&gt;=(G$1),'FY22 Budget'!$F$1:$AC$1&lt;(H$1)),'FY22 Budget'!$C$1:$C$71=$D68)),"""")"),0.0)</f>
        <v>0</v>
      </c>
      <c r="H68" s="60">
        <f>IFERROR(__xludf.DUMMYFUNCTION("IFERROR(SUM(FILTER(FILTER('FY22 Budget'!$F$1:$AC$71,'FY22 Budget'!$F$1:$AC$1&gt;=(H$1),'FY22 Budget'!$F$1:$AC$1&lt;(I$1)),'FY22 Budget'!$C$1:$C$71=$D68)),"""")"),0.0)</f>
        <v>0</v>
      </c>
      <c r="I68" s="60">
        <f>IFERROR(__xludf.DUMMYFUNCTION("IFERROR(SUM(FILTER(FILTER('FY22 Budget'!$F$1:$AC$71,'FY22 Budget'!$F$1:$AC$1&gt;=(I$1),'FY22 Budget'!$F$1:$AC$1&lt;(J$1)),'FY22 Budget'!$C$1:$C$71=$D68)),"""")"),0.0)</f>
        <v>0</v>
      </c>
      <c r="J68" s="60">
        <f>IFERROR(__xludf.DUMMYFUNCTION("IFERROR(SUM(FILTER(FILTER('FY22 Budget'!$F$1:$AC$71,'FY22 Budget'!$F$1:$AC$1&gt;=(J$1),'FY22 Budget'!$F$1:$AC$1&lt;(K$1)),'FY22 Budget'!$C$1:$C$71=$D68)),"""")"),0.0)</f>
        <v>0</v>
      </c>
      <c r="K68" s="60">
        <f>IFERROR(__xludf.DUMMYFUNCTION("IFERROR(SUM(FILTER(FILTER('FY22 Budget'!$F$1:$AC$71,'FY22 Budget'!$F$1:$AC$1&gt;=(K$1),'FY22 Budget'!$F$1:$AC$1&lt;(L$1)),'FY22 Budget'!$C$1:$C$71=$D68)),"""")"),744.05)</f>
        <v>744.05</v>
      </c>
      <c r="L68" s="60">
        <f>IFERROR(__xludf.DUMMYFUNCTION("IFERROR(SUM(FILTER(FILTER('FY22 Budget'!$F$1:$AC$71,'FY22 Budget'!$F$1:$AC$1&gt;=(L$1),'FY22 Budget'!$F$1:$AC$1&lt;(M$1)),'FY22 Budget'!$C$1:$C$71=$D68)),"""")"),0.0)</f>
        <v>0</v>
      </c>
      <c r="M68" s="60">
        <f>IFERROR(__xludf.DUMMYFUNCTION("IFERROR(SUM(FILTER(FILTER('FY22 Budget'!$F$1:$AC$71,'FY22 Budget'!$F$1:$AC$1&gt;=(M$1),'FY22 Budget'!$F$1:$AC$1&lt;(N$1)),'FY22 Budget'!$C$1:$C$71=$D68)),"""")"),0.0)</f>
        <v>0</v>
      </c>
      <c r="N68" s="60">
        <f>IFERROR(__xludf.DUMMYFUNCTION("IFERROR(SUM(FILTER(FILTER('FY22 Budget'!$F$1:$AC$71,'FY22 Budget'!$F$1:$AC$1&gt;=(N$1),'FY22 Budget'!$F$1:$AC$1&lt;(O$1)),'FY22 Budget'!$C$1:$C$71=$D68)),"""")"),0.0)</f>
        <v>0</v>
      </c>
      <c r="O68" s="60">
        <f>IFERROR(__xludf.DUMMYFUNCTION("IFERROR(SUM(FILTER(FILTER('FY22 Budget'!$F$1:$AC$71,'FY22 Budget'!$F$1:$AC$1&gt;=(O$1),'FY22 Budget'!$F$1:$AC$1&lt;(P$1)),'FY22 Budget'!$C$1:$C$71=$D68)),"""")"),0.0)</f>
        <v>0</v>
      </c>
      <c r="P68" s="60">
        <f>IFERROR(__xludf.DUMMYFUNCTION("IFERROR(SUM(FILTER(FILTER('FY22 Budget'!$F$1:$AC$71,'FY22 Budget'!$F$1:$AC$1&gt;=(P$1),'FY22 Budget'!$F$1:$AC$1&lt;(Q$1)),'FY22 Budget'!$C$1:$C$71=$D68)),"""")"),0.0)</f>
        <v>0</v>
      </c>
      <c r="Q68" s="48"/>
      <c r="R68" s="60"/>
      <c r="S68" s="60">
        <f t="shared" ref="S68:AD68" si="67">SUM($E68:E68)</f>
        <v>744.05</v>
      </c>
      <c r="T68" s="60">
        <f t="shared" si="67"/>
        <v>744.05</v>
      </c>
      <c r="U68" s="60">
        <f t="shared" si="67"/>
        <v>744.05</v>
      </c>
      <c r="V68" s="60">
        <f t="shared" si="67"/>
        <v>744.05</v>
      </c>
      <c r="W68" s="60">
        <f t="shared" si="67"/>
        <v>744.05</v>
      </c>
      <c r="X68" s="60">
        <f t="shared" si="67"/>
        <v>744.05</v>
      </c>
      <c r="Y68" s="60">
        <f t="shared" si="67"/>
        <v>1488.1</v>
      </c>
      <c r="Z68" s="60">
        <f t="shared" si="67"/>
        <v>1488.1</v>
      </c>
      <c r="AA68" s="60">
        <f t="shared" si="67"/>
        <v>1488.1</v>
      </c>
      <c r="AB68" s="60">
        <f t="shared" si="67"/>
        <v>1488.1</v>
      </c>
      <c r="AC68" s="60">
        <f t="shared" si="67"/>
        <v>1488.1</v>
      </c>
      <c r="AD68" s="60">
        <f t="shared" si="67"/>
        <v>1488.1</v>
      </c>
      <c r="AE68" s="48"/>
    </row>
    <row r="69" hidden="1">
      <c r="A69" s="41" t="s">
        <v>14</v>
      </c>
      <c r="B69" s="41" t="s">
        <v>35</v>
      </c>
      <c r="C69" s="41" t="s">
        <v>29</v>
      </c>
      <c r="D69" s="59" t="s">
        <v>114</v>
      </c>
      <c r="E69" s="60">
        <f>IFERROR(__xludf.DUMMYFUNCTION("IFERROR(SUM(FILTER(FILTER('FY22 Budget'!$F$1:$AC$71,'FY22 Budget'!$F$1:$AC$1&gt;=(E$1),'FY22 Budget'!$F$1:$AC$1&lt;(F$1)),'FY22 Budget'!$C$1:$C$71=$D69)),"""")"),678.75)</f>
        <v>678.75</v>
      </c>
      <c r="F69" s="60">
        <f>IFERROR(__xludf.DUMMYFUNCTION("IFERROR(SUM(FILTER(FILTER('FY22 Budget'!$F$1:$AC$71,'FY22 Budget'!$F$1:$AC$1&gt;=(F$1),'FY22 Budget'!$F$1:$AC$1&lt;(G$1)),'FY22 Budget'!$C$1:$C$71=$D69)),"""")"),678.75)</f>
        <v>678.75</v>
      </c>
      <c r="G69" s="60">
        <f>IFERROR(__xludf.DUMMYFUNCTION("IFERROR(SUM(FILTER(FILTER('FY22 Budget'!$F$1:$AC$71,'FY22 Budget'!$F$1:$AC$1&gt;=(G$1),'FY22 Budget'!$F$1:$AC$1&lt;(H$1)),'FY22 Budget'!$C$1:$C$71=$D69)),"""")"),678.75)</f>
        <v>678.75</v>
      </c>
      <c r="H69" s="60">
        <f>IFERROR(__xludf.DUMMYFUNCTION("IFERROR(SUM(FILTER(FILTER('FY22 Budget'!$F$1:$AC$71,'FY22 Budget'!$F$1:$AC$1&gt;=(H$1),'FY22 Budget'!$F$1:$AC$1&lt;(I$1)),'FY22 Budget'!$C$1:$C$71=$D69)),"""")"),678.75)</f>
        <v>678.75</v>
      </c>
      <c r="I69" s="60">
        <f>IFERROR(__xludf.DUMMYFUNCTION("IFERROR(SUM(FILTER(FILTER('FY22 Budget'!$F$1:$AC$71,'FY22 Budget'!$F$1:$AC$1&gt;=(I$1),'FY22 Budget'!$F$1:$AC$1&lt;(J$1)),'FY22 Budget'!$C$1:$C$71=$D69)),"""")"),678.75)</f>
        <v>678.75</v>
      </c>
      <c r="J69" s="60">
        <f>IFERROR(__xludf.DUMMYFUNCTION("IFERROR(SUM(FILTER(FILTER('FY22 Budget'!$F$1:$AC$71,'FY22 Budget'!$F$1:$AC$1&gt;=(J$1),'FY22 Budget'!$F$1:$AC$1&lt;(K$1)),'FY22 Budget'!$C$1:$C$71=$D69)),"""")"),678.75)</f>
        <v>678.75</v>
      </c>
      <c r="K69" s="60">
        <f>IFERROR(__xludf.DUMMYFUNCTION("IFERROR(SUM(FILTER(FILTER('FY22 Budget'!$F$1:$AC$71,'FY22 Budget'!$F$1:$AC$1&gt;=(K$1),'FY22 Budget'!$F$1:$AC$1&lt;(L$1)),'FY22 Budget'!$C$1:$C$71=$D69)),"""")"),678.75)</f>
        <v>678.75</v>
      </c>
      <c r="L69" s="60">
        <f>IFERROR(__xludf.DUMMYFUNCTION("IFERROR(SUM(FILTER(FILTER('FY22 Budget'!$F$1:$AC$71,'FY22 Budget'!$F$1:$AC$1&gt;=(L$1),'FY22 Budget'!$F$1:$AC$1&lt;(M$1)),'FY22 Budget'!$C$1:$C$71=$D69)),"""")"),678.75)</f>
        <v>678.75</v>
      </c>
      <c r="M69" s="60">
        <f>IFERROR(__xludf.DUMMYFUNCTION("IFERROR(SUM(FILTER(FILTER('FY22 Budget'!$F$1:$AC$71,'FY22 Budget'!$F$1:$AC$1&gt;=(M$1),'FY22 Budget'!$F$1:$AC$1&lt;(N$1)),'FY22 Budget'!$C$1:$C$71=$D69)),"""")"),678.75)</f>
        <v>678.75</v>
      </c>
      <c r="N69" s="60">
        <f>IFERROR(__xludf.DUMMYFUNCTION("IFERROR(SUM(FILTER(FILTER('FY22 Budget'!$F$1:$AC$71,'FY22 Budget'!$F$1:$AC$1&gt;=(N$1),'FY22 Budget'!$F$1:$AC$1&lt;(O$1)),'FY22 Budget'!$C$1:$C$71=$D69)),"""")"),678.75)</f>
        <v>678.75</v>
      </c>
      <c r="O69" s="60">
        <f>IFERROR(__xludf.DUMMYFUNCTION("IFERROR(SUM(FILTER(FILTER('FY22 Budget'!$F$1:$AC$71,'FY22 Budget'!$F$1:$AC$1&gt;=(O$1),'FY22 Budget'!$F$1:$AC$1&lt;(P$1)),'FY22 Budget'!$C$1:$C$71=$D69)),"""")"),678.75)</f>
        <v>678.75</v>
      </c>
      <c r="P69" s="60">
        <f>IFERROR(__xludf.DUMMYFUNCTION("IFERROR(SUM(FILTER(FILTER('FY22 Budget'!$F$1:$AC$71,'FY22 Budget'!$F$1:$AC$1&gt;=(P$1),'FY22 Budget'!$F$1:$AC$1&lt;(Q$1)),'FY22 Budget'!$C$1:$C$71=$D69)),"""")"),678.75)</f>
        <v>678.75</v>
      </c>
      <c r="Q69" s="48"/>
      <c r="R69" s="60"/>
      <c r="S69" s="60">
        <f t="shared" ref="S69:AD69" si="68">SUM($E69:E69)</f>
        <v>678.75</v>
      </c>
      <c r="T69" s="60">
        <f t="shared" si="68"/>
        <v>1357.5</v>
      </c>
      <c r="U69" s="60">
        <f t="shared" si="68"/>
        <v>2036.25</v>
      </c>
      <c r="V69" s="60">
        <f t="shared" si="68"/>
        <v>2715</v>
      </c>
      <c r="W69" s="60">
        <f t="shared" si="68"/>
        <v>3393.75</v>
      </c>
      <c r="X69" s="60">
        <f t="shared" si="68"/>
        <v>4072.5</v>
      </c>
      <c r="Y69" s="60">
        <f t="shared" si="68"/>
        <v>4751.25</v>
      </c>
      <c r="Z69" s="60">
        <f t="shared" si="68"/>
        <v>5430</v>
      </c>
      <c r="AA69" s="60">
        <f t="shared" si="68"/>
        <v>6108.75</v>
      </c>
      <c r="AB69" s="60">
        <f t="shared" si="68"/>
        <v>6787.5</v>
      </c>
      <c r="AC69" s="60">
        <f t="shared" si="68"/>
        <v>7466.25</v>
      </c>
      <c r="AD69" s="60">
        <f t="shared" si="68"/>
        <v>8145</v>
      </c>
      <c r="AE69" s="48"/>
    </row>
    <row r="70" hidden="1">
      <c r="A70" s="41" t="s">
        <v>14</v>
      </c>
      <c r="B70" s="41" t="s">
        <v>35</v>
      </c>
      <c r="C70" s="41" t="s">
        <v>29</v>
      </c>
      <c r="D70" s="59" t="s">
        <v>115</v>
      </c>
      <c r="E70" s="60">
        <f>IFERROR(__xludf.DUMMYFUNCTION("IFERROR(SUM(FILTER(FILTER('FY22 Budget'!$F$1:$AC$71,'FY22 Budget'!$F$1:$AC$1&gt;=(E$1),'FY22 Budget'!$F$1:$AC$1&lt;(F$1)),'FY22 Budget'!$C$1:$C$71=$D70)),"""")"),9954.58)</f>
        <v>9954.58</v>
      </c>
      <c r="F70" s="60">
        <f>IFERROR(__xludf.DUMMYFUNCTION("IFERROR(SUM(FILTER(FILTER('FY22 Budget'!$F$1:$AC$71,'FY22 Budget'!$F$1:$AC$1&gt;=(F$1),'FY22 Budget'!$F$1:$AC$1&lt;(G$1)),'FY22 Budget'!$C$1:$C$71=$D70)),"""")"),9954.58)</f>
        <v>9954.58</v>
      </c>
      <c r="G70" s="60">
        <f>IFERROR(__xludf.DUMMYFUNCTION("IFERROR(SUM(FILTER(FILTER('FY22 Budget'!$F$1:$AC$71,'FY22 Budget'!$F$1:$AC$1&gt;=(G$1),'FY22 Budget'!$F$1:$AC$1&lt;(H$1)),'FY22 Budget'!$C$1:$C$71=$D70)),"""")"),9954.58)</f>
        <v>9954.58</v>
      </c>
      <c r="H70" s="60">
        <f>IFERROR(__xludf.DUMMYFUNCTION("IFERROR(SUM(FILTER(FILTER('FY22 Budget'!$F$1:$AC$71,'FY22 Budget'!$F$1:$AC$1&gt;=(H$1),'FY22 Budget'!$F$1:$AC$1&lt;(I$1)),'FY22 Budget'!$C$1:$C$71=$D70)),"""")"),9954.58)</f>
        <v>9954.58</v>
      </c>
      <c r="I70" s="60">
        <f>IFERROR(__xludf.DUMMYFUNCTION("IFERROR(SUM(FILTER(FILTER('FY22 Budget'!$F$1:$AC$71,'FY22 Budget'!$F$1:$AC$1&gt;=(I$1),'FY22 Budget'!$F$1:$AC$1&lt;(J$1)),'FY22 Budget'!$C$1:$C$71=$D70)),"""")"),9954.58)</f>
        <v>9954.58</v>
      </c>
      <c r="J70" s="60">
        <f>IFERROR(__xludf.DUMMYFUNCTION("IFERROR(SUM(FILTER(FILTER('FY22 Budget'!$F$1:$AC$71,'FY22 Budget'!$F$1:$AC$1&gt;=(J$1),'FY22 Budget'!$F$1:$AC$1&lt;(K$1)),'FY22 Budget'!$C$1:$C$71=$D70)),"""")"),9954.58)</f>
        <v>9954.58</v>
      </c>
      <c r="K70" s="60">
        <f>IFERROR(__xludf.DUMMYFUNCTION("IFERROR(SUM(FILTER(FILTER('FY22 Budget'!$F$1:$AC$71,'FY22 Budget'!$F$1:$AC$1&gt;=(K$1),'FY22 Budget'!$F$1:$AC$1&lt;(L$1)),'FY22 Budget'!$C$1:$C$71=$D70)),"""")"),9954.58)</f>
        <v>9954.58</v>
      </c>
      <c r="L70" s="60">
        <f>IFERROR(__xludf.DUMMYFUNCTION("IFERROR(SUM(FILTER(FILTER('FY22 Budget'!$F$1:$AC$71,'FY22 Budget'!$F$1:$AC$1&gt;=(L$1),'FY22 Budget'!$F$1:$AC$1&lt;(M$1)),'FY22 Budget'!$C$1:$C$71=$D70)),"""")"),9954.58)</f>
        <v>9954.58</v>
      </c>
      <c r="M70" s="60">
        <f>IFERROR(__xludf.DUMMYFUNCTION("IFERROR(SUM(FILTER(FILTER('FY22 Budget'!$F$1:$AC$71,'FY22 Budget'!$F$1:$AC$1&gt;=(M$1),'FY22 Budget'!$F$1:$AC$1&lt;(N$1)),'FY22 Budget'!$C$1:$C$71=$D70)),"""")"),9954.58)</f>
        <v>9954.58</v>
      </c>
      <c r="N70" s="60">
        <f>IFERROR(__xludf.DUMMYFUNCTION("IFERROR(SUM(FILTER(FILTER('FY22 Budget'!$F$1:$AC$71,'FY22 Budget'!$F$1:$AC$1&gt;=(N$1),'FY22 Budget'!$F$1:$AC$1&lt;(O$1)),'FY22 Budget'!$C$1:$C$71=$D70)),"""")"),9954.58)</f>
        <v>9954.58</v>
      </c>
      <c r="O70" s="60">
        <f>IFERROR(__xludf.DUMMYFUNCTION("IFERROR(SUM(FILTER(FILTER('FY22 Budget'!$F$1:$AC$71,'FY22 Budget'!$F$1:$AC$1&gt;=(O$1),'FY22 Budget'!$F$1:$AC$1&lt;(P$1)),'FY22 Budget'!$C$1:$C$71=$D70)),"""")"),9954.58)</f>
        <v>9954.58</v>
      </c>
      <c r="P70" s="60">
        <f>IFERROR(__xludf.DUMMYFUNCTION("IFERROR(SUM(FILTER(FILTER('FY22 Budget'!$F$1:$AC$71,'FY22 Budget'!$F$1:$AC$1&gt;=(P$1),'FY22 Budget'!$F$1:$AC$1&lt;(Q$1)),'FY22 Budget'!$C$1:$C$71=$D70)),"""")"),9954.58)</f>
        <v>9954.58</v>
      </c>
      <c r="Q70" s="48"/>
      <c r="R70" s="60"/>
      <c r="S70" s="60">
        <f t="shared" ref="S70:AD70" si="69">SUM($E70:E70)</f>
        <v>9954.58</v>
      </c>
      <c r="T70" s="60">
        <f t="shared" si="69"/>
        <v>19909.16</v>
      </c>
      <c r="U70" s="60">
        <f t="shared" si="69"/>
        <v>29863.74</v>
      </c>
      <c r="V70" s="60">
        <f t="shared" si="69"/>
        <v>39818.32</v>
      </c>
      <c r="W70" s="60">
        <f t="shared" si="69"/>
        <v>49772.9</v>
      </c>
      <c r="X70" s="60">
        <f t="shared" si="69"/>
        <v>59727.48</v>
      </c>
      <c r="Y70" s="60">
        <f t="shared" si="69"/>
        <v>69682.06</v>
      </c>
      <c r="Z70" s="60">
        <f t="shared" si="69"/>
        <v>79636.64</v>
      </c>
      <c r="AA70" s="60">
        <f t="shared" si="69"/>
        <v>89591.22</v>
      </c>
      <c r="AB70" s="60">
        <f t="shared" si="69"/>
        <v>99545.8</v>
      </c>
      <c r="AC70" s="60">
        <f t="shared" si="69"/>
        <v>109500.38</v>
      </c>
      <c r="AD70" s="60">
        <f t="shared" si="69"/>
        <v>119454.96</v>
      </c>
      <c r="AE70" s="48"/>
    </row>
    <row r="71" hidden="1">
      <c r="A71" s="41" t="s">
        <v>14</v>
      </c>
      <c r="B71" s="41" t="s">
        <v>35</v>
      </c>
      <c r="C71" s="41" t="s">
        <v>29</v>
      </c>
      <c r="D71" s="59" t="s">
        <v>116</v>
      </c>
      <c r="E71" s="60">
        <f>IFERROR(__xludf.DUMMYFUNCTION("IFERROR(SUM(FILTER(FILTER('FY22 Budget'!$F$1:$AC$71,'FY22 Budget'!$F$1:$AC$1&gt;=(E$1),'FY22 Budget'!$F$1:$AC$1&lt;(F$1)),'FY22 Budget'!$C$1:$C$71=$D71)),"""")"),21241.73)</f>
        <v>21241.73</v>
      </c>
      <c r="F71" s="60">
        <f>IFERROR(__xludf.DUMMYFUNCTION("IFERROR(SUM(FILTER(FILTER('FY22 Budget'!$F$1:$AC$71,'FY22 Budget'!$F$1:$AC$1&gt;=(F$1),'FY22 Budget'!$F$1:$AC$1&lt;(G$1)),'FY22 Budget'!$C$1:$C$71=$D71)),"""")"),21241.73)</f>
        <v>21241.73</v>
      </c>
      <c r="G71" s="60">
        <f>IFERROR(__xludf.DUMMYFUNCTION("IFERROR(SUM(FILTER(FILTER('FY22 Budget'!$F$1:$AC$71,'FY22 Budget'!$F$1:$AC$1&gt;=(G$1),'FY22 Budget'!$F$1:$AC$1&lt;(H$1)),'FY22 Budget'!$C$1:$C$71=$D71)),"""")"),21241.73)</f>
        <v>21241.73</v>
      </c>
      <c r="H71" s="60">
        <f>IFERROR(__xludf.DUMMYFUNCTION("IFERROR(SUM(FILTER(FILTER('FY22 Budget'!$F$1:$AC$71,'FY22 Budget'!$F$1:$AC$1&gt;=(H$1),'FY22 Budget'!$F$1:$AC$1&lt;(I$1)),'FY22 Budget'!$C$1:$C$71=$D71)),"""")"),21241.73)</f>
        <v>21241.73</v>
      </c>
      <c r="I71" s="60">
        <f>IFERROR(__xludf.DUMMYFUNCTION("IFERROR(SUM(FILTER(FILTER('FY22 Budget'!$F$1:$AC$71,'FY22 Budget'!$F$1:$AC$1&gt;=(I$1),'FY22 Budget'!$F$1:$AC$1&lt;(J$1)),'FY22 Budget'!$C$1:$C$71=$D71)),"""")"),21241.73)</f>
        <v>21241.73</v>
      </c>
      <c r="J71" s="60">
        <f>IFERROR(__xludf.DUMMYFUNCTION("IFERROR(SUM(FILTER(FILTER('FY22 Budget'!$F$1:$AC$71,'FY22 Budget'!$F$1:$AC$1&gt;=(J$1),'FY22 Budget'!$F$1:$AC$1&lt;(K$1)),'FY22 Budget'!$C$1:$C$71=$D71)),"""")"),21241.73)</f>
        <v>21241.73</v>
      </c>
      <c r="K71" s="60">
        <f>IFERROR(__xludf.DUMMYFUNCTION("IFERROR(SUM(FILTER(FILTER('FY22 Budget'!$F$1:$AC$71,'FY22 Budget'!$F$1:$AC$1&gt;=(K$1),'FY22 Budget'!$F$1:$AC$1&lt;(L$1)),'FY22 Budget'!$C$1:$C$71=$D71)),"""")"),21241.73)</f>
        <v>21241.73</v>
      </c>
      <c r="L71" s="60">
        <f>IFERROR(__xludf.DUMMYFUNCTION("IFERROR(SUM(FILTER(FILTER('FY22 Budget'!$F$1:$AC$71,'FY22 Budget'!$F$1:$AC$1&gt;=(L$1),'FY22 Budget'!$F$1:$AC$1&lt;(M$1)),'FY22 Budget'!$C$1:$C$71=$D71)),"""")"),21241.73)</f>
        <v>21241.73</v>
      </c>
      <c r="M71" s="60">
        <f>IFERROR(__xludf.DUMMYFUNCTION("IFERROR(SUM(FILTER(FILTER('FY22 Budget'!$F$1:$AC$71,'FY22 Budget'!$F$1:$AC$1&gt;=(M$1),'FY22 Budget'!$F$1:$AC$1&lt;(N$1)),'FY22 Budget'!$C$1:$C$71=$D71)),"""")"),21241.73)</f>
        <v>21241.73</v>
      </c>
      <c r="N71" s="60">
        <f>IFERROR(__xludf.DUMMYFUNCTION("IFERROR(SUM(FILTER(FILTER('FY22 Budget'!$F$1:$AC$71,'FY22 Budget'!$F$1:$AC$1&gt;=(N$1),'FY22 Budget'!$F$1:$AC$1&lt;(O$1)),'FY22 Budget'!$C$1:$C$71=$D71)),"""")"),21241.73)</f>
        <v>21241.73</v>
      </c>
      <c r="O71" s="60">
        <f>IFERROR(__xludf.DUMMYFUNCTION("IFERROR(SUM(FILTER(FILTER('FY22 Budget'!$F$1:$AC$71,'FY22 Budget'!$F$1:$AC$1&gt;=(O$1),'FY22 Budget'!$F$1:$AC$1&lt;(P$1)),'FY22 Budget'!$C$1:$C$71=$D71)),"""")"),21241.73)</f>
        <v>21241.73</v>
      </c>
      <c r="P71" s="60">
        <f>IFERROR(__xludf.DUMMYFUNCTION("IFERROR(SUM(FILTER(FILTER('FY22 Budget'!$F$1:$AC$71,'FY22 Budget'!$F$1:$AC$1&gt;=(P$1),'FY22 Budget'!$F$1:$AC$1&lt;(Q$1)),'FY22 Budget'!$C$1:$C$71=$D71)),"""")"),21241.73)</f>
        <v>21241.73</v>
      </c>
      <c r="Q71" s="48"/>
      <c r="R71" s="60"/>
      <c r="S71" s="60">
        <f t="shared" ref="S71:AD71" si="70">SUM($E71:E71)</f>
        <v>21241.73</v>
      </c>
      <c r="T71" s="60">
        <f t="shared" si="70"/>
        <v>42483.46</v>
      </c>
      <c r="U71" s="60">
        <f t="shared" si="70"/>
        <v>63725.19</v>
      </c>
      <c r="V71" s="60">
        <f t="shared" si="70"/>
        <v>84966.92</v>
      </c>
      <c r="W71" s="60">
        <f t="shared" si="70"/>
        <v>106208.65</v>
      </c>
      <c r="X71" s="60">
        <f t="shared" si="70"/>
        <v>127450.38</v>
      </c>
      <c r="Y71" s="60">
        <f t="shared" si="70"/>
        <v>148692.11</v>
      </c>
      <c r="Z71" s="60">
        <f t="shared" si="70"/>
        <v>169933.84</v>
      </c>
      <c r="AA71" s="60">
        <f t="shared" si="70"/>
        <v>191175.57</v>
      </c>
      <c r="AB71" s="60">
        <f t="shared" si="70"/>
        <v>212417.3</v>
      </c>
      <c r="AC71" s="60">
        <f t="shared" si="70"/>
        <v>233659.03</v>
      </c>
      <c r="AD71" s="60">
        <f t="shared" si="70"/>
        <v>254900.76</v>
      </c>
      <c r="AE71" s="48"/>
    </row>
    <row r="72" hidden="1">
      <c r="A72" s="41" t="s">
        <v>14</v>
      </c>
      <c r="B72" s="41" t="s">
        <v>36</v>
      </c>
      <c r="C72" s="41" t="s">
        <v>17</v>
      </c>
      <c r="D72" s="59" t="s">
        <v>117</v>
      </c>
      <c r="E72" s="60" t="str">
        <f>IFERROR(__xludf.DUMMYFUNCTION("IFERROR(SUM(FILTER(FILTER('FY22 Budget'!$F$1:$AC$71,'FY22 Budget'!$F$1:$AC$1&gt;=(E$1),'FY22 Budget'!$F$1:$AC$1&lt;(F$1)),'FY22 Budget'!$C$1:$C$71=$D72)),"""")"),"")</f>
        <v/>
      </c>
      <c r="F72" s="60" t="str">
        <f>IFERROR(__xludf.DUMMYFUNCTION("IFERROR(SUM(FILTER(FILTER('FY22 Budget'!$F$1:$AC$71,'FY22 Budget'!$F$1:$AC$1&gt;=(F$1),'FY22 Budget'!$F$1:$AC$1&lt;(G$1)),'FY22 Budget'!$C$1:$C$71=$D72)),"""")"),"")</f>
        <v/>
      </c>
      <c r="G72" s="60" t="str">
        <f>IFERROR(__xludf.DUMMYFUNCTION("IFERROR(SUM(FILTER(FILTER('FY22 Budget'!$F$1:$AC$71,'FY22 Budget'!$F$1:$AC$1&gt;=(G$1),'FY22 Budget'!$F$1:$AC$1&lt;(H$1)),'FY22 Budget'!$C$1:$C$71=$D72)),"""")"),"")</f>
        <v/>
      </c>
      <c r="H72" s="60" t="str">
        <f>IFERROR(__xludf.DUMMYFUNCTION("IFERROR(SUM(FILTER(FILTER('FY22 Budget'!$F$1:$AC$71,'FY22 Budget'!$F$1:$AC$1&gt;=(H$1),'FY22 Budget'!$F$1:$AC$1&lt;(I$1)),'FY22 Budget'!$C$1:$C$71=$D72)),"""")"),"")</f>
        <v/>
      </c>
      <c r="I72" s="60" t="str">
        <f>IFERROR(__xludf.DUMMYFUNCTION("IFERROR(SUM(FILTER(FILTER('FY22 Budget'!$F$1:$AC$71,'FY22 Budget'!$F$1:$AC$1&gt;=(I$1),'FY22 Budget'!$F$1:$AC$1&lt;(J$1)),'FY22 Budget'!$C$1:$C$71=$D72)),"""")"),"")</f>
        <v/>
      </c>
      <c r="J72" s="60" t="str">
        <f>IFERROR(__xludf.DUMMYFUNCTION("IFERROR(SUM(FILTER(FILTER('FY22 Budget'!$F$1:$AC$71,'FY22 Budget'!$F$1:$AC$1&gt;=(J$1),'FY22 Budget'!$F$1:$AC$1&lt;(K$1)),'FY22 Budget'!$C$1:$C$71=$D72)),"""")"),"")</f>
        <v/>
      </c>
      <c r="K72" s="60" t="str">
        <f>IFERROR(__xludf.DUMMYFUNCTION("IFERROR(SUM(FILTER(FILTER('FY22 Budget'!$F$1:$AC$71,'FY22 Budget'!$F$1:$AC$1&gt;=(K$1),'FY22 Budget'!$F$1:$AC$1&lt;(L$1)),'FY22 Budget'!$C$1:$C$71=$D72)),"""")"),"")</f>
        <v/>
      </c>
      <c r="L72" s="60" t="str">
        <f>IFERROR(__xludf.DUMMYFUNCTION("IFERROR(SUM(FILTER(FILTER('FY22 Budget'!$F$1:$AC$71,'FY22 Budget'!$F$1:$AC$1&gt;=(L$1),'FY22 Budget'!$F$1:$AC$1&lt;(M$1)),'FY22 Budget'!$C$1:$C$71=$D72)),"""")"),"")</f>
        <v/>
      </c>
      <c r="M72" s="60" t="str">
        <f>IFERROR(__xludf.DUMMYFUNCTION("IFERROR(SUM(FILTER(FILTER('FY22 Budget'!$F$1:$AC$71,'FY22 Budget'!$F$1:$AC$1&gt;=(M$1),'FY22 Budget'!$F$1:$AC$1&lt;(N$1)),'FY22 Budget'!$C$1:$C$71=$D72)),"""")"),"")</f>
        <v/>
      </c>
      <c r="N72" s="60" t="str">
        <f>IFERROR(__xludf.DUMMYFUNCTION("IFERROR(SUM(FILTER(FILTER('FY22 Budget'!$F$1:$AC$71,'FY22 Budget'!$F$1:$AC$1&gt;=(N$1),'FY22 Budget'!$F$1:$AC$1&lt;(O$1)),'FY22 Budget'!$C$1:$C$71=$D72)),"""")"),"")</f>
        <v/>
      </c>
      <c r="O72" s="60" t="str">
        <f>IFERROR(__xludf.DUMMYFUNCTION("IFERROR(SUM(FILTER(FILTER('FY22 Budget'!$F$1:$AC$71,'FY22 Budget'!$F$1:$AC$1&gt;=(O$1),'FY22 Budget'!$F$1:$AC$1&lt;(P$1)),'FY22 Budget'!$C$1:$C$71=$D72)),"""")"),"")</f>
        <v/>
      </c>
      <c r="P72" s="60" t="str">
        <f>IFERROR(__xludf.DUMMYFUNCTION("IFERROR(SUM(FILTER(FILTER('FY22 Budget'!$F$1:$AC$71,'FY22 Budget'!$F$1:$AC$1&gt;=(P$1),'FY22 Budget'!$F$1:$AC$1&lt;(Q$1)),'FY22 Budget'!$C$1:$C$71=$D72)),"""")"),"")</f>
        <v/>
      </c>
      <c r="Q72" s="48"/>
      <c r="R72" s="60"/>
      <c r="S72" s="60">
        <f t="shared" ref="S72:AD72" si="71">SUM($E72:E72)</f>
        <v>0</v>
      </c>
      <c r="T72" s="60">
        <f t="shared" si="71"/>
        <v>0</v>
      </c>
      <c r="U72" s="60">
        <f t="shared" si="71"/>
        <v>0</v>
      </c>
      <c r="V72" s="60">
        <f t="shared" si="71"/>
        <v>0</v>
      </c>
      <c r="W72" s="60">
        <f t="shared" si="71"/>
        <v>0</v>
      </c>
      <c r="X72" s="60">
        <f t="shared" si="71"/>
        <v>0</v>
      </c>
      <c r="Y72" s="60">
        <f t="shared" si="71"/>
        <v>0</v>
      </c>
      <c r="Z72" s="60">
        <f t="shared" si="71"/>
        <v>0</v>
      </c>
      <c r="AA72" s="60">
        <f t="shared" si="71"/>
        <v>0</v>
      </c>
      <c r="AB72" s="60">
        <f t="shared" si="71"/>
        <v>0</v>
      </c>
      <c r="AC72" s="60">
        <f t="shared" si="71"/>
        <v>0</v>
      </c>
      <c r="AD72" s="60">
        <f t="shared" si="71"/>
        <v>0</v>
      </c>
      <c r="AE72" s="48"/>
    </row>
    <row r="73" hidden="1">
      <c r="A73" s="41" t="s">
        <v>14</v>
      </c>
      <c r="B73" s="41" t="s">
        <v>36</v>
      </c>
      <c r="C73" s="41" t="s">
        <v>17</v>
      </c>
      <c r="D73" s="59" t="s">
        <v>118</v>
      </c>
      <c r="E73" s="60" t="str">
        <f>IFERROR(__xludf.DUMMYFUNCTION("IFERROR(SUM(FILTER(FILTER('FY22 Budget'!$F$1:$AC$71,'FY22 Budget'!$F$1:$AC$1&gt;=(E$1),'FY22 Budget'!$F$1:$AC$1&lt;(F$1)),'FY22 Budget'!$C$1:$C$71=$D73)),"""")"),"")</f>
        <v/>
      </c>
      <c r="F73" s="60" t="str">
        <f>IFERROR(__xludf.DUMMYFUNCTION("IFERROR(SUM(FILTER(FILTER('FY22 Budget'!$F$1:$AC$71,'FY22 Budget'!$F$1:$AC$1&gt;=(F$1),'FY22 Budget'!$F$1:$AC$1&lt;(G$1)),'FY22 Budget'!$C$1:$C$71=$D73)),"""")"),"")</f>
        <v/>
      </c>
      <c r="G73" s="60" t="str">
        <f>IFERROR(__xludf.DUMMYFUNCTION("IFERROR(SUM(FILTER(FILTER('FY22 Budget'!$F$1:$AC$71,'FY22 Budget'!$F$1:$AC$1&gt;=(G$1),'FY22 Budget'!$F$1:$AC$1&lt;(H$1)),'FY22 Budget'!$C$1:$C$71=$D73)),"""")"),"")</f>
        <v/>
      </c>
      <c r="H73" s="60" t="str">
        <f>IFERROR(__xludf.DUMMYFUNCTION("IFERROR(SUM(FILTER(FILTER('FY22 Budget'!$F$1:$AC$71,'FY22 Budget'!$F$1:$AC$1&gt;=(H$1),'FY22 Budget'!$F$1:$AC$1&lt;(I$1)),'FY22 Budget'!$C$1:$C$71=$D73)),"""")"),"")</f>
        <v/>
      </c>
      <c r="I73" s="60" t="str">
        <f>IFERROR(__xludf.DUMMYFUNCTION("IFERROR(SUM(FILTER(FILTER('FY22 Budget'!$F$1:$AC$71,'FY22 Budget'!$F$1:$AC$1&gt;=(I$1),'FY22 Budget'!$F$1:$AC$1&lt;(J$1)),'FY22 Budget'!$C$1:$C$71=$D73)),"""")"),"")</f>
        <v/>
      </c>
      <c r="J73" s="60" t="str">
        <f>IFERROR(__xludf.DUMMYFUNCTION("IFERROR(SUM(FILTER(FILTER('FY22 Budget'!$F$1:$AC$71,'FY22 Budget'!$F$1:$AC$1&gt;=(J$1),'FY22 Budget'!$F$1:$AC$1&lt;(K$1)),'FY22 Budget'!$C$1:$C$71=$D73)),"""")"),"")</f>
        <v/>
      </c>
      <c r="K73" s="60" t="str">
        <f>IFERROR(__xludf.DUMMYFUNCTION("IFERROR(SUM(FILTER(FILTER('FY22 Budget'!$F$1:$AC$71,'FY22 Budget'!$F$1:$AC$1&gt;=(K$1),'FY22 Budget'!$F$1:$AC$1&lt;(L$1)),'FY22 Budget'!$C$1:$C$71=$D73)),"""")"),"")</f>
        <v/>
      </c>
      <c r="L73" s="60" t="str">
        <f>IFERROR(__xludf.DUMMYFUNCTION("IFERROR(SUM(FILTER(FILTER('FY22 Budget'!$F$1:$AC$71,'FY22 Budget'!$F$1:$AC$1&gt;=(L$1),'FY22 Budget'!$F$1:$AC$1&lt;(M$1)),'FY22 Budget'!$C$1:$C$71=$D73)),"""")"),"")</f>
        <v/>
      </c>
      <c r="M73" s="60" t="str">
        <f>IFERROR(__xludf.DUMMYFUNCTION("IFERROR(SUM(FILTER(FILTER('FY22 Budget'!$F$1:$AC$71,'FY22 Budget'!$F$1:$AC$1&gt;=(M$1),'FY22 Budget'!$F$1:$AC$1&lt;(N$1)),'FY22 Budget'!$C$1:$C$71=$D73)),"""")"),"")</f>
        <v/>
      </c>
      <c r="N73" s="60" t="str">
        <f>IFERROR(__xludf.DUMMYFUNCTION("IFERROR(SUM(FILTER(FILTER('FY22 Budget'!$F$1:$AC$71,'FY22 Budget'!$F$1:$AC$1&gt;=(N$1),'FY22 Budget'!$F$1:$AC$1&lt;(O$1)),'FY22 Budget'!$C$1:$C$71=$D73)),"""")"),"")</f>
        <v/>
      </c>
      <c r="O73" s="60" t="str">
        <f>IFERROR(__xludf.DUMMYFUNCTION("IFERROR(SUM(FILTER(FILTER('FY22 Budget'!$F$1:$AC$71,'FY22 Budget'!$F$1:$AC$1&gt;=(O$1),'FY22 Budget'!$F$1:$AC$1&lt;(P$1)),'FY22 Budget'!$C$1:$C$71=$D73)),"""")"),"")</f>
        <v/>
      </c>
      <c r="P73" s="60" t="str">
        <f>IFERROR(__xludf.DUMMYFUNCTION("IFERROR(SUM(FILTER(FILTER('FY22 Budget'!$F$1:$AC$71,'FY22 Budget'!$F$1:$AC$1&gt;=(P$1),'FY22 Budget'!$F$1:$AC$1&lt;(Q$1)),'FY22 Budget'!$C$1:$C$71=$D73)),"""")"),"")</f>
        <v/>
      </c>
      <c r="Q73" s="48"/>
      <c r="R73" s="60"/>
      <c r="S73" s="60">
        <f t="shared" ref="S73:AD73" si="72">SUM($E73:E73)</f>
        <v>0</v>
      </c>
      <c r="T73" s="60">
        <f t="shared" si="72"/>
        <v>0</v>
      </c>
      <c r="U73" s="60">
        <f t="shared" si="72"/>
        <v>0</v>
      </c>
      <c r="V73" s="60">
        <f t="shared" si="72"/>
        <v>0</v>
      </c>
      <c r="W73" s="60">
        <f t="shared" si="72"/>
        <v>0</v>
      </c>
      <c r="X73" s="60">
        <f t="shared" si="72"/>
        <v>0</v>
      </c>
      <c r="Y73" s="60">
        <f t="shared" si="72"/>
        <v>0</v>
      </c>
      <c r="Z73" s="60">
        <f t="shared" si="72"/>
        <v>0</v>
      </c>
      <c r="AA73" s="60">
        <f t="shared" si="72"/>
        <v>0</v>
      </c>
      <c r="AB73" s="60">
        <f t="shared" si="72"/>
        <v>0</v>
      </c>
      <c r="AC73" s="60">
        <f t="shared" si="72"/>
        <v>0</v>
      </c>
      <c r="AD73" s="60">
        <f t="shared" si="72"/>
        <v>0</v>
      </c>
      <c r="AE73" s="48"/>
    </row>
    <row r="74" hidden="1">
      <c r="A74" s="41" t="s">
        <v>14</v>
      </c>
      <c r="B74" s="41" t="s">
        <v>36</v>
      </c>
      <c r="C74" s="41" t="s">
        <v>17</v>
      </c>
      <c r="D74" s="59" t="s">
        <v>119</v>
      </c>
      <c r="E74" s="60" t="str">
        <f>IFERROR(__xludf.DUMMYFUNCTION("IFERROR(SUM(FILTER(FILTER('FY22 Budget'!$F$1:$AC$71,'FY22 Budget'!$F$1:$AC$1&gt;=(E$1),'FY22 Budget'!$F$1:$AC$1&lt;(F$1)),'FY22 Budget'!$C$1:$C$71=$D74)),"""")"),"")</f>
        <v/>
      </c>
      <c r="F74" s="60" t="str">
        <f>IFERROR(__xludf.DUMMYFUNCTION("IFERROR(SUM(FILTER(FILTER('FY22 Budget'!$F$1:$AC$71,'FY22 Budget'!$F$1:$AC$1&gt;=(F$1),'FY22 Budget'!$F$1:$AC$1&lt;(G$1)),'FY22 Budget'!$C$1:$C$71=$D74)),"""")"),"")</f>
        <v/>
      </c>
      <c r="G74" s="60" t="str">
        <f>IFERROR(__xludf.DUMMYFUNCTION("IFERROR(SUM(FILTER(FILTER('FY22 Budget'!$F$1:$AC$71,'FY22 Budget'!$F$1:$AC$1&gt;=(G$1),'FY22 Budget'!$F$1:$AC$1&lt;(H$1)),'FY22 Budget'!$C$1:$C$71=$D74)),"""")"),"")</f>
        <v/>
      </c>
      <c r="H74" s="60" t="str">
        <f>IFERROR(__xludf.DUMMYFUNCTION("IFERROR(SUM(FILTER(FILTER('FY22 Budget'!$F$1:$AC$71,'FY22 Budget'!$F$1:$AC$1&gt;=(H$1),'FY22 Budget'!$F$1:$AC$1&lt;(I$1)),'FY22 Budget'!$C$1:$C$71=$D74)),"""")"),"")</f>
        <v/>
      </c>
      <c r="I74" s="60" t="str">
        <f>IFERROR(__xludf.DUMMYFUNCTION("IFERROR(SUM(FILTER(FILTER('FY22 Budget'!$F$1:$AC$71,'FY22 Budget'!$F$1:$AC$1&gt;=(I$1),'FY22 Budget'!$F$1:$AC$1&lt;(J$1)),'FY22 Budget'!$C$1:$C$71=$D74)),"""")"),"")</f>
        <v/>
      </c>
      <c r="J74" s="60" t="str">
        <f>IFERROR(__xludf.DUMMYFUNCTION("IFERROR(SUM(FILTER(FILTER('FY22 Budget'!$F$1:$AC$71,'FY22 Budget'!$F$1:$AC$1&gt;=(J$1),'FY22 Budget'!$F$1:$AC$1&lt;(K$1)),'FY22 Budget'!$C$1:$C$71=$D74)),"""")"),"")</f>
        <v/>
      </c>
      <c r="K74" s="60" t="str">
        <f>IFERROR(__xludf.DUMMYFUNCTION("IFERROR(SUM(FILTER(FILTER('FY22 Budget'!$F$1:$AC$71,'FY22 Budget'!$F$1:$AC$1&gt;=(K$1),'FY22 Budget'!$F$1:$AC$1&lt;(L$1)),'FY22 Budget'!$C$1:$C$71=$D74)),"""")"),"")</f>
        <v/>
      </c>
      <c r="L74" s="60" t="str">
        <f>IFERROR(__xludf.DUMMYFUNCTION("IFERROR(SUM(FILTER(FILTER('FY22 Budget'!$F$1:$AC$71,'FY22 Budget'!$F$1:$AC$1&gt;=(L$1),'FY22 Budget'!$F$1:$AC$1&lt;(M$1)),'FY22 Budget'!$C$1:$C$71=$D74)),"""")"),"")</f>
        <v/>
      </c>
      <c r="M74" s="60" t="str">
        <f>IFERROR(__xludf.DUMMYFUNCTION("IFERROR(SUM(FILTER(FILTER('FY22 Budget'!$F$1:$AC$71,'FY22 Budget'!$F$1:$AC$1&gt;=(M$1),'FY22 Budget'!$F$1:$AC$1&lt;(N$1)),'FY22 Budget'!$C$1:$C$71=$D74)),"""")"),"")</f>
        <v/>
      </c>
      <c r="N74" s="60" t="str">
        <f>IFERROR(__xludf.DUMMYFUNCTION("IFERROR(SUM(FILTER(FILTER('FY22 Budget'!$F$1:$AC$71,'FY22 Budget'!$F$1:$AC$1&gt;=(N$1),'FY22 Budget'!$F$1:$AC$1&lt;(O$1)),'FY22 Budget'!$C$1:$C$71=$D74)),"""")"),"")</f>
        <v/>
      </c>
      <c r="O74" s="60" t="str">
        <f>IFERROR(__xludf.DUMMYFUNCTION("IFERROR(SUM(FILTER(FILTER('FY22 Budget'!$F$1:$AC$71,'FY22 Budget'!$F$1:$AC$1&gt;=(O$1),'FY22 Budget'!$F$1:$AC$1&lt;(P$1)),'FY22 Budget'!$C$1:$C$71=$D74)),"""")"),"")</f>
        <v/>
      </c>
      <c r="P74" s="60" t="str">
        <f>IFERROR(__xludf.DUMMYFUNCTION("IFERROR(SUM(FILTER(FILTER('FY22 Budget'!$F$1:$AC$71,'FY22 Budget'!$F$1:$AC$1&gt;=(P$1),'FY22 Budget'!$F$1:$AC$1&lt;(Q$1)),'FY22 Budget'!$C$1:$C$71=$D74)),"""")"),"")</f>
        <v/>
      </c>
      <c r="Q74" s="48"/>
      <c r="R74" s="60"/>
      <c r="S74" s="60">
        <f t="shared" ref="S74:AD74" si="73">SUM($E74:E74)</f>
        <v>0</v>
      </c>
      <c r="T74" s="60">
        <f t="shared" si="73"/>
        <v>0</v>
      </c>
      <c r="U74" s="60">
        <f t="shared" si="73"/>
        <v>0</v>
      </c>
      <c r="V74" s="60">
        <f t="shared" si="73"/>
        <v>0</v>
      </c>
      <c r="W74" s="60">
        <f t="shared" si="73"/>
        <v>0</v>
      </c>
      <c r="X74" s="60">
        <f t="shared" si="73"/>
        <v>0</v>
      </c>
      <c r="Y74" s="60">
        <f t="shared" si="73"/>
        <v>0</v>
      </c>
      <c r="Z74" s="60">
        <f t="shared" si="73"/>
        <v>0</v>
      </c>
      <c r="AA74" s="60">
        <f t="shared" si="73"/>
        <v>0</v>
      </c>
      <c r="AB74" s="60">
        <f t="shared" si="73"/>
        <v>0</v>
      </c>
      <c r="AC74" s="60">
        <f t="shared" si="73"/>
        <v>0</v>
      </c>
      <c r="AD74" s="60">
        <f t="shared" si="73"/>
        <v>0</v>
      </c>
      <c r="AE74" s="48"/>
    </row>
    <row r="75" hidden="1">
      <c r="A75" s="41" t="s">
        <v>14</v>
      </c>
      <c r="B75" s="41" t="s">
        <v>36</v>
      </c>
      <c r="C75" s="41" t="s">
        <v>15</v>
      </c>
      <c r="D75" s="59" t="s">
        <v>120</v>
      </c>
      <c r="E75" s="60" t="str">
        <f>IFERROR(__xludf.DUMMYFUNCTION("IFERROR(SUM(FILTER(FILTER('FY22 Budget'!$F$1:$AC$71,'FY22 Budget'!$F$1:$AC$1&gt;=(E$1),'FY22 Budget'!$F$1:$AC$1&lt;(F$1)),'FY22 Budget'!$C$1:$C$71=$D75)),"""")"),"")</f>
        <v/>
      </c>
      <c r="F75" s="60" t="str">
        <f>IFERROR(__xludf.DUMMYFUNCTION("IFERROR(SUM(FILTER(FILTER('FY22 Budget'!$F$1:$AC$71,'FY22 Budget'!$F$1:$AC$1&gt;=(F$1),'FY22 Budget'!$F$1:$AC$1&lt;(G$1)),'FY22 Budget'!$C$1:$C$71=$D75)),"""")"),"")</f>
        <v/>
      </c>
      <c r="G75" s="60" t="str">
        <f>IFERROR(__xludf.DUMMYFUNCTION("IFERROR(SUM(FILTER(FILTER('FY22 Budget'!$F$1:$AC$71,'FY22 Budget'!$F$1:$AC$1&gt;=(G$1),'FY22 Budget'!$F$1:$AC$1&lt;(H$1)),'FY22 Budget'!$C$1:$C$71=$D75)),"""")"),"")</f>
        <v/>
      </c>
      <c r="H75" s="60" t="str">
        <f>IFERROR(__xludf.DUMMYFUNCTION("IFERROR(SUM(FILTER(FILTER('FY22 Budget'!$F$1:$AC$71,'FY22 Budget'!$F$1:$AC$1&gt;=(H$1),'FY22 Budget'!$F$1:$AC$1&lt;(I$1)),'FY22 Budget'!$C$1:$C$71=$D75)),"""")"),"")</f>
        <v/>
      </c>
      <c r="I75" s="60" t="str">
        <f>IFERROR(__xludf.DUMMYFUNCTION("IFERROR(SUM(FILTER(FILTER('FY22 Budget'!$F$1:$AC$71,'FY22 Budget'!$F$1:$AC$1&gt;=(I$1),'FY22 Budget'!$F$1:$AC$1&lt;(J$1)),'FY22 Budget'!$C$1:$C$71=$D75)),"""")"),"")</f>
        <v/>
      </c>
      <c r="J75" s="60" t="str">
        <f>IFERROR(__xludf.DUMMYFUNCTION("IFERROR(SUM(FILTER(FILTER('FY22 Budget'!$F$1:$AC$71,'FY22 Budget'!$F$1:$AC$1&gt;=(J$1),'FY22 Budget'!$F$1:$AC$1&lt;(K$1)),'FY22 Budget'!$C$1:$C$71=$D75)),"""")"),"")</f>
        <v/>
      </c>
      <c r="K75" s="60" t="str">
        <f>IFERROR(__xludf.DUMMYFUNCTION("IFERROR(SUM(FILTER(FILTER('FY22 Budget'!$F$1:$AC$71,'FY22 Budget'!$F$1:$AC$1&gt;=(K$1),'FY22 Budget'!$F$1:$AC$1&lt;(L$1)),'FY22 Budget'!$C$1:$C$71=$D75)),"""")"),"")</f>
        <v/>
      </c>
      <c r="L75" s="60" t="str">
        <f>IFERROR(__xludf.DUMMYFUNCTION("IFERROR(SUM(FILTER(FILTER('FY22 Budget'!$F$1:$AC$71,'FY22 Budget'!$F$1:$AC$1&gt;=(L$1),'FY22 Budget'!$F$1:$AC$1&lt;(M$1)),'FY22 Budget'!$C$1:$C$71=$D75)),"""")"),"")</f>
        <v/>
      </c>
      <c r="M75" s="60" t="str">
        <f>IFERROR(__xludf.DUMMYFUNCTION("IFERROR(SUM(FILTER(FILTER('FY22 Budget'!$F$1:$AC$71,'FY22 Budget'!$F$1:$AC$1&gt;=(M$1),'FY22 Budget'!$F$1:$AC$1&lt;(N$1)),'FY22 Budget'!$C$1:$C$71=$D75)),"""")"),"")</f>
        <v/>
      </c>
      <c r="N75" s="60" t="str">
        <f>IFERROR(__xludf.DUMMYFUNCTION("IFERROR(SUM(FILTER(FILTER('FY22 Budget'!$F$1:$AC$71,'FY22 Budget'!$F$1:$AC$1&gt;=(N$1),'FY22 Budget'!$F$1:$AC$1&lt;(O$1)),'FY22 Budget'!$C$1:$C$71=$D75)),"""")"),"")</f>
        <v/>
      </c>
      <c r="O75" s="60" t="str">
        <f>IFERROR(__xludf.DUMMYFUNCTION("IFERROR(SUM(FILTER(FILTER('FY22 Budget'!$F$1:$AC$71,'FY22 Budget'!$F$1:$AC$1&gt;=(O$1),'FY22 Budget'!$F$1:$AC$1&lt;(P$1)),'FY22 Budget'!$C$1:$C$71=$D75)),"""")"),"")</f>
        <v/>
      </c>
      <c r="P75" s="60" t="str">
        <f>IFERROR(__xludf.DUMMYFUNCTION("IFERROR(SUM(FILTER(FILTER('FY22 Budget'!$F$1:$AC$71,'FY22 Budget'!$F$1:$AC$1&gt;=(P$1),'FY22 Budget'!$F$1:$AC$1&lt;(Q$1)),'FY22 Budget'!$C$1:$C$71=$D75)),"""")"),"")</f>
        <v/>
      </c>
      <c r="Q75" s="48"/>
      <c r="R75" s="60"/>
      <c r="S75" s="60">
        <f t="shared" ref="S75:AD75" si="74">SUM($E75:E75)</f>
        <v>0</v>
      </c>
      <c r="T75" s="60">
        <f t="shared" si="74"/>
        <v>0</v>
      </c>
      <c r="U75" s="60">
        <f t="shared" si="74"/>
        <v>0</v>
      </c>
      <c r="V75" s="60">
        <f t="shared" si="74"/>
        <v>0</v>
      </c>
      <c r="W75" s="60">
        <f t="shared" si="74"/>
        <v>0</v>
      </c>
      <c r="X75" s="60">
        <f t="shared" si="74"/>
        <v>0</v>
      </c>
      <c r="Y75" s="60">
        <f t="shared" si="74"/>
        <v>0</v>
      </c>
      <c r="Z75" s="60">
        <f t="shared" si="74"/>
        <v>0</v>
      </c>
      <c r="AA75" s="60">
        <f t="shared" si="74"/>
        <v>0</v>
      </c>
      <c r="AB75" s="60">
        <f t="shared" si="74"/>
        <v>0</v>
      </c>
      <c r="AC75" s="60">
        <f t="shared" si="74"/>
        <v>0</v>
      </c>
      <c r="AD75" s="60">
        <f t="shared" si="74"/>
        <v>0</v>
      </c>
      <c r="AE75" s="48"/>
    </row>
    <row r="76" hidden="1">
      <c r="A76" s="41" t="s">
        <v>14</v>
      </c>
      <c r="B76" s="41" t="s">
        <v>36</v>
      </c>
      <c r="C76" s="41" t="s">
        <v>17</v>
      </c>
      <c r="D76" s="59" t="s">
        <v>121</v>
      </c>
      <c r="E76" s="60" t="str">
        <f>IFERROR(__xludf.DUMMYFUNCTION("IFERROR(SUM(FILTER(FILTER('FY22 Budget'!$F$1:$AC$71,'FY22 Budget'!$F$1:$AC$1&gt;=(E$1),'FY22 Budget'!$F$1:$AC$1&lt;(F$1)),'FY22 Budget'!$C$1:$C$71=$D76)),"""")"),"")</f>
        <v/>
      </c>
      <c r="F76" s="60" t="str">
        <f>IFERROR(__xludf.DUMMYFUNCTION("IFERROR(SUM(FILTER(FILTER('FY22 Budget'!$F$1:$AC$71,'FY22 Budget'!$F$1:$AC$1&gt;=(F$1),'FY22 Budget'!$F$1:$AC$1&lt;(G$1)),'FY22 Budget'!$C$1:$C$71=$D76)),"""")"),"")</f>
        <v/>
      </c>
      <c r="G76" s="60" t="str">
        <f>IFERROR(__xludf.DUMMYFUNCTION("IFERROR(SUM(FILTER(FILTER('FY22 Budget'!$F$1:$AC$71,'FY22 Budget'!$F$1:$AC$1&gt;=(G$1),'FY22 Budget'!$F$1:$AC$1&lt;(H$1)),'FY22 Budget'!$C$1:$C$71=$D76)),"""")"),"")</f>
        <v/>
      </c>
      <c r="H76" s="60" t="str">
        <f>IFERROR(__xludf.DUMMYFUNCTION("IFERROR(SUM(FILTER(FILTER('FY22 Budget'!$F$1:$AC$71,'FY22 Budget'!$F$1:$AC$1&gt;=(H$1),'FY22 Budget'!$F$1:$AC$1&lt;(I$1)),'FY22 Budget'!$C$1:$C$71=$D76)),"""")"),"")</f>
        <v/>
      </c>
      <c r="I76" s="60" t="str">
        <f>IFERROR(__xludf.DUMMYFUNCTION("IFERROR(SUM(FILTER(FILTER('FY22 Budget'!$F$1:$AC$71,'FY22 Budget'!$F$1:$AC$1&gt;=(I$1),'FY22 Budget'!$F$1:$AC$1&lt;(J$1)),'FY22 Budget'!$C$1:$C$71=$D76)),"""")"),"")</f>
        <v/>
      </c>
      <c r="J76" s="60" t="str">
        <f>IFERROR(__xludf.DUMMYFUNCTION("IFERROR(SUM(FILTER(FILTER('FY22 Budget'!$F$1:$AC$71,'FY22 Budget'!$F$1:$AC$1&gt;=(J$1),'FY22 Budget'!$F$1:$AC$1&lt;(K$1)),'FY22 Budget'!$C$1:$C$71=$D76)),"""")"),"")</f>
        <v/>
      </c>
      <c r="K76" s="60" t="str">
        <f>IFERROR(__xludf.DUMMYFUNCTION("IFERROR(SUM(FILTER(FILTER('FY22 Budget'!$F$1:$AC$71,'FY22 Budget'!$F$1:$AC$1&gt;=(K$1),'FY22 Budget'!$F$1:$AC$1&lt;(L$1)),'FY22 Budget'!$C$1:$C$71=$D76)),"""")"),"")</f>
        <v/>
      </c>
      <c r="L76" s="60" t="str">
        <f>IFERROR(__xludf.DUMMYFUNCTION("IFERROR(SUM(FILTER(FILTER('FY22 Budget'!$F$1:$AC$71,'FY22 Budget'!$F$1:$AC$1&gt;=(L$1),'FY22 Budget'!$F$1:$AC$1&lt;(M$1)),'FY22 Budget'!$C$1:$C$71=$D76)),"""")"),"")</f>
        <v/>
      </c>
      <c r="M76" s="60" t="str">
        <f>IFERROR(__xludf.DUMMYFUNCTION("IFERROR(SUM(FILTER(FILTER('FY22 Budget'!$F$1:$AC$71,'FY22 Budget'!$F$1:$AC$1&gt;=(M$1),'FY22 Budget'!$F$1:$AC$1&lt;(N$1)),'FY22 Budget'!$C$1:$C$71=$D76)),"""")"),"")</f>
        <v/>
      </c>
      <c r="N76" s="60" t="str">
        <f>IFERROR(__xludf.DUMMYFUNCTION("IFERROR(SUM(FILTER(FILTER('FY22 Budget'!$F$1:$AC$71,'FY22 Budget'!$F$1:$AC$1&gt;=(N$1),'FY22 Budget'!$F$1:$AC$1&lt;(O$1)),'FY22 Budget'!$C$1:$C$71=$D76)),"""")"),"")</f>
        <v/>
      </c>
      <c r="O76" s="60" t="str">
        <f>IFERROR(__xludf.DUMMYFUNCTION("IFERROR(SUM(FILTER(FILTER('FY22 Budget'!$F$1:$AC$71,'FY22 Budget'!$F$1:$AC$1&gt;=(O$1),'FY22 Budget'!$F$1:$AC$1&lt;(P$1)),'FY22 Budget'!$C$1:$C$71=$D76)),"""")"),"")</f>
        <v/>
      </c>
      <c r="P76" s="60" t="str">
        <f>IFERROR(__xludf.DUMMYFUNCTION("IFERROR(SUM(FILTER(FILTER('FY22 Budget'!$F$1:$AC$71,'FY22 Budget'!$F$1:$AC$1&gt;=(P$1),'FY22 Budget'!$F$1:$AC$1&lt;(Q$1)),'FY22 Budget'!$C$1:$C$71=$D76)),"""")"),"")</f>
        <v/>
      </c>
      <c r="Q76" s="48"/>
      <c r="R76" s="60"/>
      <c r="S76" s="60">
        <f t="shared" ref="S76:AD76" si="75">SUM($E76:E76)</f>
        <v>0</v>
      </c>
      <c r="T76" s="60">
        <f t="shared" si="75"/>
        <v>0</v>
      </c>
      <c r="U76" s="60">
        <f t="shared" si="75"/>
        <v>0</v>
      </c>
      <c r="V76" s="60">
        <f t="shared" si="75"/>
        <v>0</v>
      </c>
      <c r="W76" s="60">
        <f t="shared" si="75"/>
        <v>0</v>
      </c>
      <c r="X76" s="60">
        <f t="shared" si="75"/>
        <v>0</v>
      </c>
      <c r="Y76" s="60">
        <f t="shared" si="75"/>
        <v>0</v>
      </c>
      <c r="Z76" s="60">
        <f t="shared" si="75"/>
        <v>0</v>
      </c>
      <c r="AA76" s="60">
        <f t="shared" si="75"/>
        <v>0</v>
      </c>
      <c r="AB76" s="60">
        <f t="shared" si="75"/>
        <v>0</v>
      </c>
      <c r="AC76" s="60">
        <f t="shared" si="75"/>
        <v>0</v>
      </c>
      <c r="AD76" s="60">
        <f t="shared" si="75"/>
        <v>0</v>
      </c>
      <c r="AE76" s="48"/>
    </row>
    <row r="77" hidden="1">
      <c r="A77" s="41" t="s">
        <v>14</v>
      </c>
      <c r="B77" s="41" t="s">
        <v>35</v>
      </c>
      <c r="C77" s="41" t="s">
        <v>25</v>
      </c>
      <c r="D77" s="59" t="s">
        <v>122</v>
      </c>
      <c r="E77" s="60" t="str">
        <f>IFERROR(__xludf.DUMMYFUNCTION("IFERROR(SUM(FILTER(FILTER('FY22 Budget'!$F$1:$AC$71,'FY22 Budget'!$F$1:$AC$1&gt;=(E$1),'FY22 Budget'!$F$1:$AC$1&lt;(F$1)),'FY22 Budget'!$C$1:$C$71=$D77)),"""")"),"")</f>
        <v/>
      </c>
      <c r="F77" s="60" t="str">
        <f>IFERROR(__xludf.DUMMYFUNCTION("IFERROR(SUM(FILTER(FILTER('FY22 Budget'!$F$1:$AC$71,'FY22 Budget'!$F$1:$AC$1&gt;=(F$1),'FY22 Budget'!$F$1:$AC$1&lt;(G$1)),'FY22 Budget'!$C$1:$C$71=$D77)),"""")"),"")</f>
        <v/>
      </c>
      <c r="G77" s="60" t="str">
        <f>IFERROR(__xludf.DUMMYFUNCTION("IFERROR(SUM(FILTER(FILTER('FY22 Budget'!$F$1:$AC$71,'FY22 Budget'!$F$1:$AC$1&gt;=(G$1),'FY22 Budget'!$F$1:$AC$1&lt;(H$1)),'FY22 Budget'!$C$1:$C$71=$D77)),"""")"),"")</f>
        <v/>
      </c>
      <c r="H77" s="60" t="str">
        <f>IFERROR(__xludf.DUMMYFUNCTION("IFERROR(SUM(FILTER(FILTER('FY22 Budget'!$F$1:$AC$71,'FY22 Budget'!$F$1:$AC$1&gt;=(H$1),'FY22 Budget'!$F$1:$AC$1&lt;(I$1)),'FY22 Budget'!$C$1:$C$71=$D77)),"""")"),"")</f>
        <v/>
      </c>
      <c r="I77" s="60" t="str">
        <f>IFERROR(__xludf.DUMMYFUNCTION("IFERROR(SUM(FILTER(FILTER('FY22 Budget'!$F$1:$AC$71,'FY22 Budget'!$F$1:$AC$1&gt;=(I$1),'FY22 Budget'!$F$1:$AC$1&lt;(J$1)),'FY22 Budget'!$C$1:$C$71=$D77)),"""")"),"")</f>
        <v/>
      </c>
      <c r="J77" s="60" t="str">
        <f>IFERROR(__xludf.DUMMYFUNCTION("IFERROR(SUM(FILTER(FILTER('FY22 Budget'!$F$1:$AC$71,'FY22 Budget'!$F$1:$AC$1&gt;=(J$1),'FY22 Budget'!$F$1:$AC$1&lt;(K$1)),'FY22 Budget'!$C$1:$C$71=$D77)),"""")"),"")</f>
        <v/>
      </c>
      <c r="K77" s="60" t="str">
        <f>IFERROR(__xludf.DUMMYFUNCTION("IFERROR(SUM(FILTER(FILTER('FY22 Budget'!$F$1:$AC$71,'FY22 Budget'!$F$1:$AC$1&gt;=(K$1),'FY22 Budget'!$F$1:$AC$1&lt;(L$1)),'FY22 Budget'!$C$1:$C$71=$D77)),"""")"),"")</f>
        <v/>
      </c>
      <c r="L77" s="60" t="str">
        <f>IFERROR(__xludf.DUMMYFUNCTION("IFERROR(SUM(FILTER(FILTER('FY22 Budget'!$F$1:$AC$71,'FY22 Budget'!$F$1:$AC$1&gt;=(L$1),'FY22 Budget'!$F$1:$AC$1&lt;(M$1)),'FY22 Budget'!$C$1:$C$71=$D77)),"""")"),"")</f>
        <v/>
      </c>
      <c r="M77" s="60" t="str">
        <f>IFERROR(__xludf.DUMMYFUNCTION("IFERROR(SUM(FILTER(FILTER('FY22 Budget'!$F$1:$AC$71,'FY22 Budget'!$F$1:$AC$1&gt;=(M$1),'FY22 Budget'!$F$1:$AC$1&lt;(N$1)),'FY22 Budget'!$C$1:$C$71=$D77)),"""")"),"")</f>
        <v/>
      </c>
      <c r="N77" s="60" t="str">
        <f>IFERROR(__xludf.DUMMYFUNCTION("IFERROR(SUM(FILTER(FILTER('FY22 Budget'!$F$1:$AC$71,'FY22 Budget'!$F$1:$AC$1&gt;=(N$1),'FY22 Budget'!$F$1:$AC$1&lt;(O$1)),'FY22 Budget'!$C$1:$C$71=$D77)),"""")"),"")</f>
        <v/>
      </c>
      <c r="O77" s="60" t="str">
        <f>IFERROR(__xludf.DUMMYFUNCTION("IFERROR(SUM(FILTER(FILTER('FY22 Budget'!$F$1:$AC$71,'FY22 Budget'!$F$1:$AC$1&gt;=(O$1),'FY22 Budget'!$F$1:$AC$1&lt;(P$1)),'FY22 Budget'!$C$1:$C$71=$D77)),"""")"),"")</f>
        <v/>
      </c>
      <c r="P77" s="60" t="str">
        <f>IFERROR(__xludf.DUMMYFUNCTION("IFERROR(SUM(FILTER(FILTER('FY22 Budget'!$F$1:$AC$71,'FY22 Budget'!$F$1:$AC$1&gt;=(P$1),'FY22 Budget'!$F$1:$AC$1&lt;(Q$1)),'FY22 Budget'!$C$1:$C$71=$D77)),"""")"),"")</f>
        <v/>
      </c>
      <c r="Q77" s="48"/>
      <c r="R77" s="60"/>
      <c r="S77" s="60">
        <f t="shared" ref="S77:AD77" si="76">SUM($E77:E77)</f>
        <v>0</v>
      </c>
      <c r="T77" s="60">
        <f t="shared" si="76"/>
        <v>0</v>
      </c>
      <c r="U77" s="60">
        <f t="shared" si="76"/>
        <v>0</v>
      </c>
      <c r="V77" s="60">
        <f t="shared" si="76"/>
        <v>0</v>
      </c>
      <c r="W77" s="60">
        <f t="shared" si="76"/>
        <v>0</v>
      </c>
      <c r="X77" s="60">
        <f t="shared" si="76"/>
        <v>0</v>
      </c>
      <c r="Y77" s="60">
        <f t="shared" si="76"/>
        <v>0</v>
      </c>
      <c r="Z77" s="60">
        <f t="shared" si="76"/>
        <v>0</v>
      </c>
      <c r="AA77" s="60">
        <f t="shared" si="76"/>
        <v>0</v>
      </c>
      <c r="AB77" s="60">
        <f t="shared" si="76"/>
        <v>0</v>
      </c>
      <c r="AC77" s="60">
        <f t="shared" si="76"/>
        <v>0</v>
      </c>
      <c r="AD77" s="60">
        <f t="shared" si="76"/>
        <v>0</v>
      </c>
      <c r="AE77" s="48"/>
    </row>
    <row r="78" hidden="1">
      <c r="A78" s="41" t="s">
        <v>14</v>
      </c>
      <c r="B78" s="41" t="s">
        <v>35</v>
      </c>
      <c r="C78" s="41" t="s">
        <v>27</v>
      </c>
      <c r="D78" s="59" t="s">
        <v>123</v>
      </c>
      <c r="E78" s="60" t="str">
        <f>IFERROR(__xludf.DUMMYFUNCTION("IFERROR(SUM(FILTER(FILTER('FY22 Budget'!$F$1:$AC$71,'FY22 Budget'!$F$1:$AC$1&gt;=(E$1),'FY22 Budget'!$F$1:$AC$1&lt;(F$1)),'FY22 Budget'!$C$1:$C$71=$D78)),"""")"),"")</f>
        <v/>
      </c>
      <c r="F78" s="60" t="str">
        <f>IFERROR(__xludf.DUMMYFUNCTION("IFERROR(SUM(FILTER(FILTER('FY22 Budget'!$F$1:$AC$71,'FY22 Budget'!$F$1:$AC$1&gt;=(F$1),'FY22 Budget'!$F$1:$AC$1&lt;(G$1)),'FY22 Budget'!$C$1:$C$71=$D78)),"""")"),"")</f>
        <v/>
      </c>
      <c r="G78" s="60" t="str">
        <f>IFERROR(__xludf.DUMMYFUNCTION("IFERROR(SUM(FILTER(FILTER('FY22 Budget'!$F$1:$AC$71,'FY22 Budget'!$F$1:$AC$1&gt;=(G$1),'FY22 Budget'!$F$1:$AC$1&lt;(H$1)),'FY22 Budget'!$C$1:$C$71=$D78)),"""")"),"")</f>
        <v/>
      </c>
      <c r="H78" s="60" t="str">
        <f>IFERROR(__xludf.DUMMYFUNCTION("IFERROR(SUM(FILTER(FILTER('FY22 Budget'!$F$1:$AC$71,'FY22 Budget'!$F$1:$AC$1&gt;=(H$1),'FY22 Budget'!$F$1:$AC$1&lt;(I$1)),'FY22 Budget'!$C$1:$C$71=$D78)),"""")"),"")</f>
        <v/>
      </c>
      <c r="I78" s="60" t="str">
        <f>IFERROR(__xludf.DUMMYFUNCTION("IFERROR(SUM(FILTER(FILTER('FY22 Budget'!$F$1:$AC$71,'FY22 Budget'!$F$1:$AC$1&gt;=(I$1),'FY22 Budget'!$F$1:$AC$1&lt;(J$1)),'FY22 Budget'!$C$1:$C$71=$D78)),"""")"),"")</f>
        <v/>
      </c>
      <c r="J78" s="60" t="str">
        <f>IFERROR(__xludf.DUMMYFUNCTION("IFERROR(SUM(FILTER(FILTER('FY22 Budget'!$F$1:$AC$71,'FY22 Budget'!$F$1:$AC$1&gt;=(J$1),'FY22 Budget'!$F$1:$AC$1&lt;(K$1)),'FY22 Budget'!$C$1:$C$71=$D78)),"""")"),"")</f>
        <v/>
      </c>
      <c r="K78" s="60" t="str">
        <f>IFERROR(__xludf.DUMMYFUNCTION("IFERROR(SUM(FILTER(FILTER('FY22 Budget'!$F$1:$AC$71,'FY22 Budget'!$F$1:$AC$1&gt;=(K$1),'FY22 Budget'!$F$1:$AC$1&lt;(L$1)),'FY22 Budget'!$C$1:$C$71=$D78)),"""")"),"")</f>
        <v/>
      </c>
      <c r="L78" s="60" t="str">
        <f>IFERROR(__xludf.DUMMYFUNCTION("IFERROR(SUM(FILTER(FILTER('FY22 Budget'!$F$1:$AC$71,'FY22 Budget'!$F$1:$AC$1&gt;=(L$1),'FY22 Budget'!$F$1:$AC$1&lt;(M$1)),'FY22 Budget'!$C$1:$C$71=$D78)),"""")"),"")</f>
        <v/>
      </c>
      <c r="M78" s="60" t="str">
        <f>IFERROR(__xludf.DUMMYFUNCTION("IFERROR(SUM(FILTER(FILTER('FY22 Budget'!$F$1:$AC$71,'FY22 Budget'!$F$1:$AC$1&gt;=(M$1),'FY22 Budget'!$F$1:$AC$1&lt;(N$1)),'FY22 Budget'!$C$1:$C$71=$D78)),"""")"),"")</f>
        <v/>
      </c>
      <c r="N78" s="60" t="str">
        <f>IFERROR(__xludf.DUMMYFUNCTION("IFERROR(SUM(FILTER(FILTER('FY22 Budget'!$F$1:$AC$71,'FY22 Budget'!$F$1:$AC$1&gt;=(N$1),'FY22 Budget'!$F$1:$AC$1&lt;(O$1)),'FY22 Budget'!$C$1:$C$71=$D78)),"""")"),"")</f>
        <v/>
      </c>
      <c r="O78" s="60" t="str">
        <f>IFERROR(__xludf.DUMMYFUNCTION("IFERROR(SUM(FILTER(FILTER('FY22 Budget'!$F$1:$AC$71,'FY22 Budget'!$F$1:$AC$1&gt;=(O$1),'FY22 Budget'!$F$1:$AC$1&lt;(P$1)),'FY22 Budget'!$C$1:$C$71=$D78)),"""")"),"")</f>
        <v/>
      </c>
      <c r="P78" s="60" t="str">
        <f>IFERROR(__xludf.DUMMYFUNCTION("IFERROR(SUM(FILTER(FILTER('FY22 Budget'!$F$1:$AC$71,'FY22 Budget'!$F$1:$AC$1&gt;=(P$1),'FY22 Budget'!$F$1:$AC$1&lt;(Q$1)),'FY22 Budget'!$C$1:$C$71=$D78)),"""")"),"")</f>
        <v/>
      </c>
      <c r="Q78" s="48"/>
      <c r="R78" s="60"/>
      <c r="S78" s="60">
        <f t="shared" ref="S78:AD78" si="77">SUM($E78:E78)</f>
        <v>0</v>
      </c>
      <c r="T78" s="60">
        <f t="shared" si="77"/>
        <v>0</v>
      </c>
      <c r="U78" s="60">
        <f t="shared" si="77"/>
        <v>0</v>
      </c>
      <c r="V78" s="60">
        <f t="shared" si="77"/>
        <v>0</v>
      </c>
      <c r="W78" s="60">
        <f t="shared" si="77"/>
        <v>0</v>
      </c>
      <c r="X78" s="60">
        <f t="shared" si="77"/>
        <v>0</v>
      </c>
      <c r="Y78" s="60">
        <f t="shared" si="77"/>
        <v>0</v>
      </c>
      <c r="Z78" s="60">
        <f t="shared" si="77"/>
        <v>0</v>
      </c>
      <c r="AA78" s="60">
        <f t="shared" si="77"/>
        <v>0</v>
      </c>
      <c r="AB78" s="60">
        <f t="shared" si="77"/>
        <v>0</v>
      </c>
      <c r="AC78" s="60">
        <f t="shared" si="77"/>
        <v>0</v>
      </c>
      <c r="AD78" s="60">
        <f t="shared" si="77"/>
        <v>0</v>
      </c>
      <c r="AE78" s="48"/>
    </row>
    <row r="79" hidden="1">
      <c r="A79" s="41" t="s">
        <v>14</v>
      </c>
      <c r="B79" s="41" t="s">
        <v>35</v>
      </c>
      <c r="C79" s="41" t="s">
        <v>28</v>
      </c>
      <c r="D79" s="41" t="s">
        <v>124</v>
      </c>
      <c r="E79" s="60" t="str">
        <f>IFERROR(__xludf.DUMMYFUNCTION("IFERROR(SUM(FILTER(FILTER('FY22 Budget'!$F$1:$AC$71,'FY22 Budget'!$F$1:$AC$1&gt;=(E$1),'FY22 Budget'!$F$1:$AC$1&lt;(F$1)),'FY22 Budget'!$C$1:$C$71=$D79)),"""")"),"")</f>
        <v/>
      </c>
      <c r="F79" s="60" t="str">
        <f>IFERROR(__xludf.DUMMYFUNCTION("IFERROR(SUM(FILTER(FILTER('FY22 Budget'!$F$1:$AC$71,'FY22 Budget'!$F$1:$AC$1&gt;=(F$1),'FY22 Budget'!$F$1:$AC$1&lt;(G$1)),'FY22 Budget'!$C$1:$C$71=$D79)),"""")"),"")</f>
        <v/>
      </c>
      <c r="G79" s="60" t="str">
        <f>IFERROR(__xludf.DUMMYFUNCTION("IFERROR(SUM(FILTER(FILTER('FY22 Budget'!$F$1:$AC$71,'FY22 Budget'!$F$1:$AC$1&gt;=(G$1),'FY22 Budget'!$F$1:$AC$1&lt;(H$1)),'FY22 Budget'!$C$1:$C$71=$D79)),"""")"),"")</f>
        <v/>
      </c>
      <c r="H79" s="60" t="str">
        <f>IFERROR(__xludf.DUMMYFUNCTION("IFERROR(SUM(FILTER(FILTER('FY22 Budget'!$F$1:$AC$71,'FY22 Budget'!$F$1:$AC$1&gt;=(H$1),'FY22 Budget'!$F$1:$AC$1&lt;(I$1)),'FY22 Budget'!$C$1:$C$71=$D79)),"""")"),"")</f>
        <v/>
      </c>
      <c r="I79" s="60" t="str">
        <f>IFERROR(__xludf.DUMMYFUNCTION("IFERROR(SUM(FILTER(FILTER('FY22 Budget'!$F$1:$AC$71,'FY22 Budget'!$F$1:$AC$1&gt;=(I$1),'FY22 Budget'!$F$1:$AC$1&lt;(J$1)),'FY22 Budget'!$C$1:$C$71=$D79)),"""")"),"")</f>
        <v/>
      </c>
      <c r="J79" s="60" t="str">
        <f>IFERROR(__xludf.DUMMYFUNCTION("IFERROR(SUM(FILTER(FILTER('FY22 Budget'!$F$1:$AC$71,'FY22 Budget'!$F$1:$AC$1&gt;=(J$1),'FY22 Budget'!$F$1:$AC$1&lt;(K$1)),'FY22 Budget'!$C$1:$C$71=$D79)),"""")"),"")</f>
        <v/>
      </c>
      <c r="K79" s="60" t="str">
        <f>IFERROR(__xludf.DUMMYFUNCTION("IFERROR(SUM(FILTER(FILTER('FY22 Budget'!$F$1:$AC$71,'FY22 Budget'!$F$1:$AC$1&gt;=(K$1),'FY22 Budget'!$F$1:$AC$1&lt;(L$1)),'FY22 Budget'!$C$1:$C$71=$D79)),"""")"),"")</f>
        <v/>
      </c>
      <c r="L79" s="60" t="str">
        <f>IFERROR(__xludf.DUMMYFUNCTION("IFERROR(SUM(FILTER(FILTER('FY22 Budget'!$F$1:$AC$71,'FY22 Budget'!$F$1:$AC$1&gt;=(L$1),'FY22 Budget'!$F$1:$AC$1&lt;(M$1)),'FY22 Budget'!$C$1:$C$71=$D79)),"""")"),"")</f>
        <v/>
      </c>
      <c r="M79" s="60" t="str">
        <f>IFERROR(__xludf.DUMMYFUNCTION("IFERROR(SUM(FILTER(FILTER('FY22 Budget'!$F$1:$AC$71,'FY22 Budget'!$F$1:$AC$1&gt;=(M$1),'FY22 Budget'!$F$1:$AC$1&lt;(N$1)),'FY22 Budget'!$C$1:$C$71=$D79)),"""")"),"")</f>
        <v/>
      </c>
      <c r="N79" s="60" t="str">
        <f>IFERROR(__xludf.DUMMYFUNCTION("IFERROR(SUM(FILTER(FILTER('FY22 Budget'!$F$1:$AC$71,'FY22 Budget'!$F$1:$AC$1&gt;=(N$1),'FY22 Budget'!$F$1:$AC$1&lt;(O$1)),'FY22 Budget'!$C$1:$C$71=$D79)),"""")"),"")</f>
        <v/>
      </c>
      <c r="O79" s="60" t="str">
        <f>IFERROR(__xludf.DUMMYFUNCTION("IFERROR(SUM(FILTER(FILTER('FY22 Budget'!$F$1:$AC$71,'FY22 Budget'!$F$1:$AC$1&gt;=(O$1),'FY22 Budget'!$F$1:$AC$1&lt;(P$1)),'FY22 Budget'!$C$1:$C$71=$D79)),"""")"),"")</f>
        <v/>
      </c>
      <c r="P79" s="60" t="str">
        <f>IFERROR(__xludf.DUMMYFUNCTION("IFERROR(SUM(FILTER(FILTER('FY22 Budget'!$F$1:$AC$71,'FY22 Budget'!$F$1:$AC$1&gt;=(P$1),'FY22 Budget'!$F$1:$AC$1&lt;(Q$1)),'FY22 Budget'!$C$1:$C$71=$D79)),"""")"),"")</f>
        <v/>
      </c>
      <c r="Q79" s="48"/>
      <c r="R79" s="60"/>
      <c r="S79" s="60">
        <f t="shared" ref="S79:AD79" si="78">SUM($E79:E79)</f>
        <v>0</v>
      </c>
      <c r="T79" s="60">
        <f t="shared" si="78"/>
        <v>0</v>
      </c>
      <c r="U79" s="60">
        <f t="shared" si="78"/>
        <v>0</v>
      </c>
      <c r="V79" s="60">
        <f t="shared" si="78"/>
        <v>0</v>
      </c>
      <c r="W79" s="60">
        <f t="shared" si="78"/>
        <v>0</v>
      </c>
      <c r="X79" s="60">
        <f t="shared" si="78"/>
        <v>0</v>
      </c>
      <c r="Y79" s="60">
        <f t="shared" si="78"/>
        <v>0</v>
      </c>
      <c r="Z79" s="60">
        <f t="shared" si="78"/>
        <v>0</v>
      </c>
      <c r="AA79" s="60">
        <f t="shared" si="78"/>
        <v>0</v>
      </c>
      <c r="AB79" s="60">
        <f t="shared" si="78"/>
        <v>0</v>
      </c>
      <c r="AC79" s="60">
        <f t="shared" si="78"/>
        <v>0</v>
      </c>
      <c r="AD79" s="60">
        <f t="shared" si="78"/>
        <v>0</v>
      </c>
      <c r="AE79" s="48"/>
    </row>
    <row r="80" hidden="1">
      <c r="A80" s="41" t="s">
        <v>14</v>
      </c>
      <c r="B80" s="41" t="s">
        <v>35</v>
      </c>
      <c r="C80" s="41" t="s">
        <v>28</v>
      </c>
      <c r="D80" s="59" t="s">
        <v>125</v>
      </c>
      <c r="E80" s="60" t="str">
        <f>IFERROR(__xludf.DUMMYFUNCTION("IFERROR(SUM(FILTER(FILTER('FY22 Budget'!$F$1:$AC$71,'FY22 Budget'!$F$1:$AC$1&gt;=(E$1),'FY22 Budget'!$F$1:$AC$1&lt;(F$1)),'FY22 Budget'!$C$1:$C$71=$D80)),"""")"),"")</f>
        <v/>
      </c>
      <c r="F80" s="60" t="str">
        <f>IFERROR(__xludf.DUMMYFUNCTION("IFERROR(SUM(FILTER(FILTER('FY22 Budget'!$F$1:$AC$71,'FY22 Budget'!$F$1:$AC$1&gt;=(F$1),'FY22 Budget'!$F$1:$AC$1&lt;(G$1)),'FY22 Budget'!$C$1:$C$71=$D80)),"""")"),"")</f>
        <v/>
      </c>
      <c r="G80" s="60" t="str">
        <f>IFERROR(__xludf.DUMMYFUNCTION("IFERROR(SUM(FILTER(FILTER('FY22 Budget'!$F$1:$AC$71,'FY22 Budget'!$F$1:$AC$1&gt;=(G$1),'FY22 Budget'!$F$1:$AC$1&lt;(H$1)),'FY22 Budget'!$C$1:$C$71=$D80)),"""")"),"")</f>
        <v/>
      </c>
      <c r="H80" s="60" t="str">
        <f>IFERROR(__xludf.DUMMYFUNCTION("IFERROR(SUM(FILTER(FILTER('FY22 Budget'!$F$1:$AC$71,'FY22 Budget'!$F$1:$AC$1&gt;=(H$1),'FY22 Budget'!$F$1:$AC$1&lt;(I$1)),'FY22 Budget'!$C$1:$C$71=$D80)),"""")"),"")</f>
        <v/>
      </c>
      <c r="I80" s="60" t="str">
        <f>IFERROR(__xludf.DUMMYFUNCTION("IFERROR(SUM(FILTER(FILTER('FY22 Budget'!$F$1:$AC$71,'FY22 Budget'!$F$1:$AC$1&gt;=(I$1),'FY22 Budget'!$F$1:$AC$1&lt;(J$1)),'FY22 Budget'!$C$1:$C$71=$D80)),"""")"),"")</f>
        <v/>
      </c>
      <c r="J80" s="60" t="str">
        <f>IFERROR(__xludf.DUMMYFUNCTION("IFERROR(SUM(FILTER(FILTER('FY22 Budget'!$F$1:$AC$71,'FY22 Budget'!$F$1:$AC$1&gt;=(J$1),'FY22 Budget'!$F$1:$AC$1&lt;(K$1)),'FY22 Budget'!$C$1:$C$71=$D80)),"""")"),"")</f>
        <v/>
      </c>
      <c r="K80" s="60" t="str">
        <f>IFERROR(__xludf.DUMMYFUNCTION("IFERROR(SUM(FILTER(FILTER('FY22 Budget'!$F$1:$AC$71,'FY22 Budget'!$F$1:$AC$1&gt;=(K$1),'FY22 Budget'!$F$1:$AC$1&lt;(L$1)),'FY22 Budget'!$C$1:$C$71=$D80)),"""")"),"")</f>
        <v/>
      </c>
      <c r="L80" s="60" t="str">
        <f>IFERROR(__xludf.DUMMYFUNCTION("IFERROR(SUM(FILTER(FILTER('FY22 Budget'!$F$1:$AC$71,'FY22 Budget'!$F$1:$AC$1&gt;=(L$1),'FY22 Budget'!$F$1:$AC$1&lt;(M$1)),'FY22 Budget'!$C$1:$C$71=$D80)),"""")"),"")</f>
        <v/>
      </c>
      <c r="M80" s="60" t="str">
        <f>IFERROR(__xludf.DUMMYFUNCTION("IFERROR(SUM(FILTER(FILTER('FY22 Budget'!$F$1:$AC$71,'FY22 Budget'!$F$1:$AC$1&gt;=(M$1),'FY22 Budget'!$F$1:$AC$1&lt;(N$1)),'FY22 Budget'!$C$1:$C$71=$D80)),"""")"),"")</f>
        <v/>
      </c>
      <c r="N80" s="60" t="str">
        <f>IFERROR(__xludf.DUMMYFUNCTION("IFERROR(SUM(FILTER(FILTER('FY22 Budget'!$F$1:$AC$71,'FY22 Budget'!$F$1:$AC$1&gt;=(N$1),'FY22 Budget'!$F$1:$AC$1&lt;(O$1)),'FY22 Budget'!$C$1:$C$71=$D80)),"""")"),"")</f>
        <v/>
      </c>
      <c r="O80" s="60" t="str">
        <f>IFERROR(__xludf.DUMMYFUNCTION("IFERROR(SUM(FILTER(FILTER('FY22 Budget'!$F$1:$AC$71,'FY22 Budget'!$F$1:$AC$1&gt;=(O$1),'FY22 Budget'!$F$1:$AC$1&lt;(P$1)),'FY22 Budget'!$C$1:$C$71=$D80)),"""")"),"")</f>
        <v/>
      </c>
      <c r="P80" s="60" t="str">
        <f>IFERROR(__xludf.DUMMYFUNCTION("IFERROR(SUM(FILTER(FILTER('FY22 Budget'!$F$1:$AC$71,'FY22 Budget'!$F$1:$AC$1&gt;=(P$1),'FY22 Budget'!$F$1:$AC$1&lt;(Q$1)),'FY22 Budget'!$C$1:$C$71=$D80)),"""")"),"")</f>
        <v/>
      </c>
      <c r="Q80" s="48"/>
      <c r="R80" s="60"/>
      <c r="S80" s="60">
        <f t="shared" ref="S80:AD80" si="79">SUM($E80:E80)</f>
        <v>0</v>
      </c>
      <c r="T80" s="60">
        <f t="shared" si="79"/>
        <v>0</v>
      </c>
      <c r="U80" s="60">
        <f t="shared" si="79"/>
        <v>0</v>
      </c>
      <c r="V80" s="60">
        <f t="shared" si="79"/>
        <v>0</v>
      </c>
      <c r="W80" s="60">
        <f t="shared" si="79"/>
        <v>0</v>
      </c>
      <c r="X80" s="60">
        <f t="shared" si="79"/>
        <v>0</v>
      </c>
      <c r="Y80" s="60">
        <f t="shared" si="79"/>
        <v>0</v>
      </c>
      <c r="Z80" s="60">
        <f t="shared" si="79"/>
        <v>0</v>
      </c>
      <c r="AA80" s="60">
        <f t="shared" si="79"/>
        <v>0</v>
      </c>
      <c r="AB80" s="60">
        <f t="shared" si="79"/>
        <v>0</v>
      </c>
      <c r="AC80" s="60">
        <f t="shared" si="79"/>
        <v>0</v>
      </c>
      <c r="AD80" s="60">
        <f t="shared" si="79"/>
        <v>0</v>
      </c>
      <c r="AE80" s="48"/>
    </row>
    <row r="81" hidden="1">
      <c r="A81" s="41" t="s">
        <v>14</v>
      </c>
      <c r="B81" s="41" t="s">
        <v>35</v>
      </c>
      <c r="C81" s="41" t="s">
        <v>30</v>
      </c>
      <c r="D81" s="59" t="s">
        <v>126</v>
      </c>
      <c r="E81" s="60" t="str">
        <f>IFERROR(__xludf.DUMMYFUNCTION("IFERROR(SUM(FILTER(FILTER('FY22 Budget'!$F$1:$AC$71,'FY22 Budget'!$F$1:$AC$1&gt;=(E$1),'FY22 Budget'!$F$1:$AC$1&lt;(F$1)),'FY22 Budget'!$C$1:$C$71=$D81)),"""")"),"")</f>
        <v/>
      </c>
      <c r="F81" s="60" t="str">
        <f>IFERROR(__xludf.DUMMYFUNCTION("IFERROR(SUM(FILTER(FILTER('FY22 Budget'!$F$1:$AC$71,'FY22 Budget'!$F$1:$AC$1&gt;=(F$1),'FY22 Budget'!$F$1:$AC$1&lt;(G$1)),'FY22 Budget'!$C$1:$C$71=$D81)),"""")"),"")</f>
        <v/>
      </c>
      <c r="G81" s="60" t="str">
        <f>IFERROR(__xludf.DUMMYFUNCTION("IFERROR(SUM(FILTER(FILTER('FY22 Budget'!$F$1:$AC$71,'FY22 Budget'!$F$1:$AC$1&gt;=(G$1),'FY22 Budget'!$F$1:$AC$1&lt;(H$1)),'FY22 Budget'!$C$1:$C$71=$D81)),"""")"),"")</f>
        <v/>
      </c>
      <c r="H81" s="60" t="str">
        <f>IFERROR(__xludf.DUMMYFUNCTION("IFERROR(SUM(FILTER(FILTER('FY22 Budget'!$F$1:$AC$71,'FY22 Budget'!$F$1:$AC$1&gt;=(H$1),'FY22 Budget'!$F$1:$AC$1&lt;(I$1)),'FY22 Budget'!$C$1:$C$71=$D81)),"""")"),"")</f>
        <v/>
      </c>
      <c r="I81" s="60" t="str">
        <f>IFERROR(__xludf.DUMMYFUNCTION("IFERROR(SUM(FILTER(FILTER('FY22 Budget'!$F$1:$AC$71,'FY22 Budget'!$F$1:$AC$1&gt;=(I$1),'FY22 Budget'!$F$1:$AC$1&lt;(J$1)),'FY22 Budget'!$C$1:$C$71=$D81)),"""")"),"")</f>
        <v/>
      </c>
      <c r="J81" s="60" t="str">
        <f>IFERROR(__xludf.DUMMYFUNCTION("IFERROR(SUM(FILTER(FILTER('FY22 Budget'!$F$1:$AC$71,'FY22 Budget'!$F$1:$AC$1&gt;=(J$1),'FY22 Budget'!$F$1:$AC$1&lt;(K$1)),'FY22 Budget'!$C$1:$C$71=$D81)),"""")"),"")</f>
        <v/>
      </c>
      <c r="K81" s="60" t="str">
        <f>IFERROR(__xludf.DUMMYFUNCTION("IFERROR(SUM(FILTER(FILTER('FY22 Budget'!$F$1:$AC$71,'FY22 Budget'!$F$1:$AC$1&gt;=(K$1),'FY22 Budget'!$F$1:$AC$1&lt;(L$1)),'FY22 Budget'!$C$1:$C$71=$D81)),"""")"),"")</f>
        <v/>
      </c>
      <c r="L81" s="60" t="str">
        <f>IFERROR(__xludf.DUMMYFUNCTION("IFERROR(SUM(FILTER(FILTER('FY22 Budget'!$F$1:$AC$71,'FY22 Budget'!$F$1:$AC$1&gt;=(L$1),'FY22 Budget'!$F$1:$AC$1&lt;(M$1)),'FY22 Budget'!$C$1:$C$71=$D81)),"""")"),"")</f>
        <v/>
      </c>
      <c r="M81" s="60" t="str">
        <f>IFERROR(__xludf.DUMMYFUNCTION("IFERROR(SUM(FILTER(FILTER('FY22 Budget'!$F$1:$AC$71,'FY22 Budget'!$F$1:$AC$1&gt;=(M$1),'FY22 Budget'!$F$1:$AC$1&lt;(N$1)),'FY22 Budget'!$C$1:$C$71=$D81)),"""")"),"")</f>
        <v/>
      </c>
      <c r="N81" s="60" t="str">
        <f>IFERROR(__xludf.DUMMYFUNCTION("IFERROR(SUM(FILTER(FILTER('FY22 Budget'!$F$1:$AC$71,'FY22 Budget'!$F$1:$AC$1&gt;=(N$1),'FY22 Budget'!$F$1:$AC$1&lt;(O$1)),'FY22 Budget'!$C$1:$C$71=$D81)),"""")"),"")</f>
        <v/>
      </c>
      <c r="O81" s="60" t="str">
        <f>IFERROR(__xludf.DUMMYFUNCTION("IFERROR(SUM(FILTER(FILTER('FY22 Budget'!$F$1:$AC$71,'FY22 Budget'!$F$1:$AC$1&gt;=(O$1),'FY22 Budget'!$F$1:$AC$1&lt;(P$1)),'FY22 Budget'!$C$1:$C$71=$D81)),"""")"),"")</f>
        <v/>
      </c>
      <c r="P81" s="60" t="str">
        <f>IFERROR(__xludf.DUMMYFUNCTION("IFERROR(SUM(FILTER(FILTER('FY22 Budget'!$F$1:$AC$71,'FY22 Budget'!$F$1:$AC$1&gt;=(P$1),'FY22 Budget'!$F$1:$AC$1&lt;(Q$1)),'FY22 Budget'!$C$1:$C$71=$D81)),"""")"),"")</f>
        <v/>
      </c>
      <c r="Q81" s="48"/>
      <c r="R81" s="60"/>
      <c r="S81" s="60">
        <f t="shared" ref="S81:AD81" si="80">SUM($E81:E81)</f>
        <v>0</v>
      </c>
      <c r="T81" s="60">
        <f t="shared" si="80"/>
        <v>0</v>
      </c>
      <c r="U81" s="60">
        <f t="shared" si="80"/>
        <v>0</v>
      </c>
      <c r="V81" s="60">
        <f t="shared" si="80"/>
        <v>0</v>
      </c>
      <c r="W81" s="60">
        <f t="shared" si="80"/>
        <v>0</v>
      </c>
      <c r="X81" s="60">
        <f t="shared" si="80"/>
        <v>0</v>
      </c>
      <c r="Y81" s="60">
        <f t="shared" si="80"/>
        <v>0</v>
      </c>
      <c r="Z81" s="60">
        <f t="shared" si="80"/>
        <v>0</v>
      </c>
      <c r="AA81" s="60">
        <f t="shared" si="80"/>
        <v>0</v>
      </c>
      <c r="AB81" s="60">
        <f t="shared" si="80"/>
        <v>0</v>
      </c>
      <c r="AC81" s="60">
        <f t="shared" si="80"/>
        <v>0</v>
      </c>
      <c r="AD81" s="60">
        <f t="shared" si="80"/>
        <v>0</v>
      </c>
      <c r="AE81" s="48"/>
    </row>
    <row r="82" hidden="1">
      <c r="A82" s="41" t="s">
        <v>14</v>
      </c>
      <c r="B82" s="41" t="s">
        <v>35</v>
      </c>
      <c r="C82" s="41" t="s">
        <v>30</v>
      </c>
      <c r="D82" s="59" t="s">
        <v>127</v>
      </c>
      <c r="E82" s="60" t="str">
        <f>IFERROR(__xludf.DUMMYFUNCTION("IFERROR(SUM(FILTER(FILTER('FY22 Budget'!$F$1:$AC$71,'FY22 Budget'!$F$1:$AC$1&gt;=(E$1),'FY22 Budget'!$F$1:$AC$1&lt;(F$1)),'FY22 Budget'!$C$1:$C$71=$D82)),"""")"),"")</f>
        <v/>
      </c>
      <c r="F82" s="60" t="str">
        <f>IFERROR(__xludf.DUMMYFUNCTION("IFERROR(SUM(FILTER(FILTER('FY22 Budget'!$F$1:$AC$71,'FY22 Budget'!$F$1:$AC$1&gt;=(F$1),'FY22 Budget'!$F$1:$AC$1&lt;(G$1)),'FY22 Budget'!$C$1:$C$71=$D82)),"""")"),"")</f>
        <v/>
      </c>
      <c r="G82" s="60" t="str">
        <f>IFERROR(__xludf.DUMMYFUNCTION("IFERROR(SUM(FILTER(FILTER('FY22 Budget'!$F$1:$AC$71,'FY22 Budget'!$F$1:$AC$1&gt;=(G$1),'FY22 Budget'!$F$1:$AC$1&lt;(H$1)),'FY22 Budget'!$C$1:$C$71=$D82)),"""")"),"")</f>
        <v/>
      </c>
      <c r="H82" s="60" t="str">
        <f>IFERROR(__xludf.DUMMYFUNCTION("IFERROR(SUM(FILTER(FILTER('FY22 Budget'!$F$1:$AC$71,'FY22 Budget'!$F$1:$AC$1&gt;=(H$1),'FY22 Budget'!$F$1:$AC$1&lt;(I$1)),'FY22 Budget'!$C$1:$C$71=$D82)),"""")"),"")</f>
        <v/>
      </c>
      <c r="I82" s="60" t="str">
        <f>IFERROR(__xludf.DUMMYFUNCTION("IFERROR(SUM(FILTER(FILTER('FY22 Budget'!$F$1:$AC$71,'FY22 Budget'!$F$1:$AC$1&gt;=(I$1),'FY22 Budget'!$F$1:$AC$1&lt;(J$1)),'FY22 Budget'!$C$1:$C$71=$D82)),"""")"),"")</f>
        <v/>
      </c>
      <c r="J82" s="60" t="str">
        <f>IFERROR(__xludf.DUMMYFUNCTION("IFERROR(SUM(FILTER(FILTER('FY22 Budget'!$F$1:$AC$71,'FY22 Budget'!$F$1:$AC$1&gt;=(J$1),'FY22 Budget'!$F$1:$AC$1&lt;(K$1)),'FY22 Budget'!$C$1:$C$71=$D82)),"""")"),"")</f>
        <v/>
      </c>
      <c r="K82" s="60" t="str">
        <f>IFERROR(__xludf.DUMMYFUNCTION("IFERROR(SUM(FILTER(FILTER('FY22 Budget'!$F$1:$AC$71,'FY22 Budget'!$F$1:$AC$1&gt;=(K$1),'FY22 Budget'!$F$1:$AC$1&lt;(L$1)),'FY22 Budget'!$C$1:$C$71=$D82)),"""")"),"")</f>
        <v/>
      </c>
      <c r="L82" s="60" t="str">
        <f>IFERROR(__xludf.DUMMYFUNCTION("IFERROR(SUM(FILTER(FILTER('FY22 Budget'!$F$1:$AC$71,'FY22 Budget'!$F$1:$AC$1&gt;=(L$1),'FY22 Budget'!$F$1:$AC$1&lt;(M$1)),'FY22 Budget'!$C$1:$C$71=$D82)),"""")"),"")</f>
        <v/>
      </c>
      <c r="M82" s="60" t="str">
        <f>IFERROR(__xludf.DUMMYFUNCTION("IFERROR(SUM(FILTER(FILTER('FY22 Budget'!$F$1:$AC$71,'FY22 Budget'!$F$1:$AC$1&gt;=(M$1),'FY22 Budget'!$F$1:$AC$1&lt;(N$1)),'FY22 Budget'!$C$1:$C$71=$D82)),"""")"),"")</f>
        <v/>
      </c>
      <c r="N82" s="60" t="str">
        <f>IFERROR(__xludf.DUMMYFUNCTION("IFERROR(SUM(FILTER(FILTER('FY22 Budget'!$F$1:$AC$71,'FY22 Budget'!$F$1:$AC$1&gt;=(N$1),'FY22 Budget'!$F$1:$AC$1&lt;(O$1)),'FY22 Budget'!$C$1:$C$71=$D82)),"""")"),"")</f>
        <v/>
      </c>
      <c r="O82" s="60" t="str">
        <f>IFERROR(__xludf.DUMMYFUNCTION("IFERROR(SUM(FILTER(FILTER('FY22 Budget'!$F$1:$AC$71,'FY22 Budget'!$F$1:$AC$1&gt;=(O$1),'FY22 Budget'!$F$1:$AC$1&lt;(P$1)),'FY22 Budget'!$C$1:$C$71=$D82)),"""")"),"")</f>
        <v/>
      </c>
      <c r="P82" s="60" t="str">
        <f>IFERROR(__xludf.DUMMYFUNCTION("IFERROR(SUM(FILTER(FILTER('FY22 Budget'!$F$1:$AC$71,'FY22 Budget'!$F$1:$AC$1&gt;=(P$1),'FY22 Budget'!$F$1:$AC$1&lt;(Q$1)),'FY22 Budget'!$C$1:$C$71=$D82)),"""")"),"")</f>
        <v/>
      </c>
      <c r="Q82" s="48"/>
      <c r="R82" s="60"/>
      <c r="S82" s="60">
        <f t="shared" ref="S82:AD82" si="81">SUM($E82:E82)</f>
        <v>0</v>
      </c>
      <c r="T82" s="60">
        <f t="shared" si="81"/>
        <v>0</v>
      </c>
      <c r="U82" s="60">
        <f t="shared" si="81"/>
        <v>0</v>
      </c>
      <c r="V82" s="60">
        <f t="shared" si="81"/>
        <v>0</v>
      </c>
      <c r="W82" s="60">
        <f t="shared" si="81"/>
        <v>0</v>
      </c>
      <c r="X82" s="60">
        <f t="shared" si="81"/>
        <v>0</v>
      </c>
      <c r="Y82" s="60">
        <f t="shared" si="81"/>
        <v>0</v>
      </c>
      <c r="Z82" s="60">
        <f t="shared" si="81"/>
        <v>0</v>
      </c>
      <c r="AA82" s="60">
        <f t="shared" si="81"/>
        <v>0</v>
      </c>
      <c r="AB82" s="60">
        <f t="shared" si="81"/>
        <v>0</v>
      </c>
      <c r="AC82" s="60">
        <f t="shared" si="81"/>
        <v>0</v>
      </c>
      <c r="AD82" s="60">
        <f t="shared" si="81"/>
        <v>0</v>
      </c>
      <c r="AE82" s="48"/>
    </row>
    <row r="83" hidden="1">
      <c r="A83" s="41" t="s">
        <v>14</v>
      </c>
      <c r="B83" s="41" t="s">
        <v>35</v>
      </c>
      <c r="C83" s="41" t="s">
        <v>30</v>
      </c>
      <c r="D83" s="59" t="s">
        <v>128</v>
      </c>
      <c r="E83" s="60" t="str">
        <f>IFERROR(__xludf.DUMMYFUNCTION("IFERROR(SUM(FILTER(FILTER('FY22 Budget'!$F$1:$AC$71,'FY22 Budget'!$F$1:$AC$1&gt;=(E$1),'FY22 Budget'!$F$1:$AC$1&lt;(F$1)),'FY22 Budget'!$C$1:$C$71=$D83)),"""")"),"")</f>
        <v/>
      </c>
      <c r="F83" s="60" t="str">
        <f>IFERROR(__xludf.DUMMYFUNCTION("IFERROR(SUM(FILTER(FILTER('FY22 Budget'!$F$1:$AC$71,'FY22 Budget'!$F$1:$AC$1&gt;=(F$1),'FY22 Budget'!$F$1:$AC$1&lt;(G$1)),'FY22 Budget'!$C$1:$C$71=$D83)),"""")"),"")</f>
        <v/>
      </c>
      <c r="G83" s="60" t="str">
        <f>IFERROR(__xludf.DUMMYFUNCTION("IFERROR(SUM(FILTER(FILTER('FY22 Budget'!$F$1:$AC$71,'FY22 Budget'!$F$1:$AC$1&gt;=(G$1),'FY22 Budget'!$F$1:$AC$1&lt;(H$1)),'FY22 Budget'!$C$1:$C$71=$D83)),"""")"),"")</f>
        <v/>
      </c>
      <c r="H83" s="60" t="str">
        <f>IFERROR(__xludf.DUMMYFUNCTION("IFERROR(SUM(FILTER(FILTER('FY22 Budget'!$F$1:$AC$71,'FY22 Budget'!$F$1:$AC$1&gt;=(H$1),'FY22 Budget'!$F$1:$AC$1&lt;(I$1)),'FY22 Budget'!$C$1:$C$71=$D83)),"""")"),"")</f>
        <v/>
      </c>
      <c r="I83" s="60" t="str">
        <f>IFERROR(__xludf.DUMMYFUNCTION("IFERROR(SUM(FILTER(FILTER('FY22 Budget'!$F$1:$AC$71,'FY22 Budget'!$F$1:$AC$1&gt;=(I$1),'FY22 Budget'!$F$1:$AC$1&lt;(J$1)),'FY22 Budget'!$C$1:$C$71=$D83)),"""")"),"")</f>
        <v/>
      </c>
      <c r="J83" s="60" t="str">
        <f>IFERROR(__xludf.DUMMYFUNCTION("IFERROR(SUM(FILTER(FILTER('FY22 Budget'!$F$1:$AC$71,'FY22 Budget'!$F$1:$AC$1&gt;=(J$1),'FY22 Budget'!$F$1:$AC$1&lt;(K$1)),'FY22 Budget'!$C$1:$C$71=$D83)),"""")"),"")</f>
        <v/>
      </c>
      <c r="K83" s="60" t="str">
        <f>IFERROR(__xludf.DUMMYFUNCTION("IFERROR(SUM(FILTER(FILTER('FY22 Budget'!$F$1:$AC$71,'FY22 Budget'!$F$1:$AC$1&gt;=(K$1),'FY22 Budget'!$F$1:$AC$1&lt;(L$1)),'FY22 Budget'!$C$1:$C$71=$D83)),"""")"),"")</f>
        <v/>
      </c>
      <c r="L83" s="60" t="str">
        <f>IFERROR(__xludf.DUMMYFUNCTION("IFERROR(SUM(FILTER(FILTER('FY22 Budget'!$F$1:$AC$71,'FY22 Budget'!$F$1:$AC$1&gt;=(L$1),'FY22 Budget'!$F$1:$AC$1&lt;(M$1)),'FY22 Budget'!$C$1:$C$71=$D83)),"""")"),"")</f>
        <v/>
      </c>
      <c r="M83" s="60" t="str">
        <f>IFERROR(__xludf.DUMMYFUNCTION("IFERROR(SUM(FILTER(FILTER('FY22 Budget'!$F$1:$AC$71,'FY22 Budget'!$F$1:$AC$1&gt;=(M$1),'FY22 Budget'!$F$1:$AC$1&lt;(N$1)),'FY22 Budget'!$C$1:$C$71=$D83)),"""")"),"")</f>
        <v/>
      </c>
      <c r="N83" s="60" t="str">
        <f>IFERROR(__xludf.DUMMYFUNCTION("IFERROR(SUM(FILTER(FILTER('FY22 Budget'!$F$1:$AC$71,'FY22 Budget'!$F$1:$AC$1&gt;=(N$1),'FY22 Budget'!$F$1:$AC$1&lt;(O$1)),'FY22 Budget'!$C$1:$C$71=$D83)),"""")"),"")</f>
        <v/>
      </c>
      <c r="O83" s="60" t="str">
        <f>IFERROR(__xludf.DUMMYFUNCTION("IFERROR(SUM(FILTER(FILTER('FY22 Budget'!$F$1:$AC$71,'FY22 Budget'!$F$1:$AC$1&gt;=(O$1),'FY22 Budget'!$F$1:$AC$1&lt;(P$1)),'FY22 Budget'!$C$1:$C$71=$D83)),"""")"),"")</f>
        <v/>
      </c>
      <c r="P83" s="60" t="str">
        <f>IFERROR(__xludf.DUMMYFUNCTION("IFERROR(SUM(FILTER(FILTER('FY22 Budget'!$F$1:$AC$71,'FY22 Budget'!$F$1:$AC$1&gt;=(P$1),'FY22 Budget'!$F$1:$AC$1&lt;(Q$1)),'FY22 Budget'!$C$1:$C$71=$D83)),"""")"),"")</f>
        <v/>
      </c>
      <c r="Q83" s="48"/>
      <c r="R83" s="60"/>
      <c r="S83" s="60">
        <f t="shared" ref="S83:AD83" si="82">SUM($E83:E83)</f>
        <v>0</v>
      </c>
      <c r="T83" s="60">
        <f t="shared" si="82"/>
        <v>0</v>
      </c>
      <c r="U83" s="60">
        <f t="shared" si="82"/>
        <v>0</v>
      </c>
      <c r="V83" s="60">
        <f t="shared" si="82"/>
        <v>0</v>
      </c>
      <c r="W83" s="60">
        <f t="shared" si="82"/>
        <v>0</v>
      </c>
      <c r="X83" s="60">
        <f t="shared" si="82"/>
        <v>0</v>
      </c>
      <c r="Y83" s="60">
        <f t="shared" si="82"/>
        <v>0</v>
      </c>
      <c r="Z83" s="60">
        <f t="shared" si="82"/>
        <v>0</v>
      </c>
      <c r="AA83" s="60">
        <f t="shared" si="82"/>
        <v>0</v>
      </c>
      <c r="AB83" s="60">
        <f t="shared" si="82"/>
        <v>0</v>
      </c>
      <c r="AC83" s="60">
        <f t="shared" si="82"/>
        <v>0</v>
      </c>
      <c r="AD83" s="60">
        <f t="shared" si="82"/>
        <v>0</v>
      </c>
      <c r="AE83" s="48"/>
    </row>
    <row r="84" hidden="1">
      <c r="A84" s="41" t="s">
        <v>14</v>
      </c>
      <c r="B84" s="41" t="s">
        <v>35</v>
      </c>
      <c r="C84" s="41" t="s">
        <v>30</v>
      </c>
      <c r="D84" s="59" t="s">
        <v>129</v>
      </c>
      <c r="E84" s="60" t="str">
        <f>IFERROR(__xludf.DUMMYFUNCTION("IFERROR(SUM(FILTER(FILTER('FY22 Budget'!$F$1:$AC$71,'FY22 Budget'!$F$1:$AC$1&gt;=(E$1),'FY22 Budget'!$F$1:$AC$1&lt;(F$1)),'FY22 Budget'!$C$1:$C$71=$D84)),"""")"),"")</f>
        <v/>
      </c>
      <c r="F84" s="60" t="str">
        <f>IFERROR(__xludf.DUMMYFUNCTION("IFERROR(SUM(FILTER(FILTER('FY22 Budget'!$F$1:$AC$71,'FY22 Budget'!$F$1:$AC$1&gt;=(F$1),'FY22 Budget'!$F$1:$AC$1&lt;(G$1)),'FY22 Budget'!$C$1:$C$71=$D84)),"""")"),"")</f>
        <v/>
      </c>
      <c r="G84" s="60" t="str">
        <f>IFERROR(__xludf.DUMMYFUNCTION("IFERROR(SUM(FILTER(FILTER('FY22 Budget'!$F$1:$AC$71,'FY22 Budget'!$F$1:$AC$1&gt;=(G$1),'FY22 Budget'!$F$1:$AC$1&lt;(H$1)),'FY22 Budget'!$C$1:$C$71=$D84)),"""")"),"")</f>
        <v/>
      </c>
      <c r="H84" s="60" t="str">
        <f>IFERROR(__xludf.DUMMYFUNCTION("IFERROR(SUM(FILTER(FILTER('FY22 Budget'!$F$1:$AC$71,'FY22 Budget'!$F$1:$AC$1&gt;=(H$1),'FY22 Budget'!$F$1:$AC$1&lt;(I$1)),'FY22 Budget'!$C$1:$C$71=$D84)),"""")"),"")</f>
        <v/>
      </c>
      <c r="I84" s="60" t="str">
        <f>IFERROR(__xludf.DUMMYFUNCTION("IFERROR(SUM(FILTER(FILTER('FY22 Budget'!$F$1:$AC$71,'FY22 Budget'!$F$1:$AC$1&gt;=(I$1),'FY22 Budget'!$F$1:$AC$1&lt;(J$1)),'FY22 Budget'!$C$1:$C$71=$D84)),"""")"),"")</f>
        <v/>
      </c>
      <c r="J84" s="60" t="str">
        <f>IFERROR(__xludf.DUMMYFUNCTION("IFERROR(SUM(FILTER(FILTER('FY22 Budget'!$F$1:$AC$71,'FY22 Budget'!$F$1:$AC$1&gt;=(J$1),'FY22 Budget'!$F$1:$AC$1&lt;(K$1)),'FY22 Budget'!$C$1:$C$71=$D84)),"""")"),"")</f>
        <v/>
      </c>
      <c r="K84" s="60" t="str">
        <f>IFERROR(__xludf.DUMMYFUNCTION("IFERROR(SUM(FILTER(FILTER('FY22 Budget'!$F$1:$AC$71,'FY22 Budget'!$F$1:$AC$1&gt;=(K$1),'FY22 Budget'!$F$1:$AC$1&lt;(L$1)),'FY22 Budget'!$C$1:$C$71=$D84)),"""")"),"")</f>
        <v/>
      </c>
      <c r="L84" s="60" t="str">
        <f>IFERROR(__xludf.DUMMYFUNCTION("IFERROR(SUM(FILTER(FILTER('FY22 Budget'!$F$1:$AC$71,'FY22 Budget'!$F$1:$AC$1&gt;=(L$1),'FY22 Budget'!$F$1:$AC$1&lt;(M$1)),'FY22 Budget'!$C$1:$C$71=$D84)),"""")"),"")</f>
        <v/>
      </c>
      <c r="M84" s="60" t="str">
        <f>IFERROR(__xludf.DUMMYFUNCTION("IFERROR(SUM(FILTER(FILTER('FY22 Budget'!$F$1:$AC$71,'FY22 Budget'!$F$1:$AC$1&gt;=(M$1),'FY22 Budget'!$F$1:$AC$1&lt;(N$1)),'FY22 Budget'!$C$1:$C$71=$D84)),"""")"),"")</f>
        <v/>
      </c>
      <c r="N84" s="60" t="str">
        <f>IFERROR(__xludf.DUMMYFUNCTION("IFERROR(SUM(FILTER(FILTER('FY22 Budget'!$F$1:$AC$71,'FY22 Budget'!$F$1:$AC$1&gt;=(N$1),'FY22 Budget'!$F$1:$AC$1&lt;(O$1)),'FY22 Budget'!$C$1:$C$71=$D84)),"""")"),"")</f>
        <v/>
      </c>
      <c r="O84" s="60" t="str">
        <f>IFERROR(__xludf.DUMMYFUNCTION("IFERROR(SUM(FILTER(FILTER('FY22 Budget'!$F$1:$AC$71,'FY22 Budget'!$F$1:$AC$1&gt;=(O$1),'FY22 Budget'!$F$1:$AC$1&lt;(P$1)),'FY22 Budget'!$C$1:$C$71=$D84)),"""")"),"")</f>
        <v/>
      </c>
      <c r="P84" s="60" t="str">
        <f>IFERROR(__xludf.DUMMYFUNCTION("IFERROR(SUM(FILTER(FILTER('FY22 Budget'!$F$1:$AC$71,'FY22 Budget'!$F$1:$AC$1&gt;=(P$1),'FY22 Budget'!$F$1:$AC$1&lt;(Q$1)),'FY22 Budget'!$C$1:$C$71=$D84)),"""")"),"")</f>
        <v/>
      </c>
      <c r="Q84" s="48"/>
      <c r="R84" s="60"/>
      <c r="S84" s="60">
        <f t="shared" ref="S84:AD84" si="83">SUM($E84:E84)</f>
        <v>0</v>
      </c>
      <c r="T84" s="60">
        <f t="shared" si="83"/>
        <v>0</v>
      </c>
      <c r="U84" s="60">
        <f t="shared" si="83"/>
        <v>0</v>
      </c>
      <c r="V84" s="60">
        <f t="shared" si="83"/>
        <v>0</v>
      </c>
      <c r="W84" s="60">
        <f t="shared" si="83"/>
        <v>0</v>
      </c>
      <c r="X84" s="60">
        <f t="shared" si="83"/>
        <v>0</v>
      </c>
      <c r="Y84" s="60">
        <f t="shared" si="83"/>
        <v>0</v>
      </c>
      <c r="Z84" s="60">
        <f t="shared" si="83"/>
        <v>0</v>
      </c>
      <c r="AA84" s="60">
        <f t="shared" si="83"/>
        <v>0</v>
      </c>
      <c r="AB84" s="60">
        <f t="shared" si="83"/>
        <v>0</v>
      </c>
      <c r="AC84" s="60">
        <f t="shared" si="83"/>
        <v>0</v>
      </c>
      <c r="AD84" s="60">
        <f t="shared" si="83"/>
        <v>0</v>
      </c>
      <c r="AE84" s="48"/>
    </row>
    <row r="85" hidden="1">
      <c r="A85" s="41" t="s">
        <v>14</v>
      </c>
      <c r="B85" s="41" t="s">
        <v>35</v>
      </c>
      <c r="C85" s="41" t="s">
        <v>31</v>
      </c>
      <c r="D85" s="59" t="s">
        <v>130</v>
      </c>
      <c r="E85" s="60" t="str">
        <f>IFERROR(__xludf.DUMMYFUNCTION("IFERROR(SUM(FILTER(FILTER('FY22 Budget'!$F$1:$AC$71,'FY22 Budget'!$F$1:$AC$1&gt;=(E$1),'FY22 Budget'!$F$1:$AC$1&lt;(F$1)),'FY22 Budget'!$C$1:$C$71=$D85)),"""")"),"")</f>
        <v/>
      </c>
      <c r="F85" s="60" t="str">
        <f>IFERROR(__xludf.DUMMYFUNCTION("IFERROR(SUM(FILTER(FILTER('FY22 Budget'!$F$1:$AC$71,'FY22 Budget'!$F$1:$AC$1&gt;=(F$1),'FY22 Budget'!$F$1:$AC$1&lt;(G$1)),'FY22 Budget'!$C$1:$C$71=$D85)),"""")"),"")</f>
        <v/>
      </c>
      <c r="G85" s="60" t="str">
        <f>IFERROR(__xludf.DUMMYFUNCTION("IFERROR(SUM(FILTER(FILTER('FY22 Budget'!$F$1:$AC$71,'FY22 Budget'!$F$1:$AC$1&gt;=(G$1),'FY22 Budget'!$F$1:$AC$1&lt;(H$1)),'FY22 Budget'!$C$1:$C$71=$D85)),"""")"),"")</f>
        <v/>
      </c>
      <c r="H85" s="60" t="str">
        <f>IFERROR(__xludf.DUMMYFUNCTION("IFERROR(SUM(FILTER(FILTER('FY22 Budget'!$F$1:$AC$71,'FY22 Budget'!$F$1:$AC$1&gt;=(H$1),'FY22 Budget'!$F$1:$AC$1&lt;(I$1)),'FY22 Budget'!$C$1:$C$71=$D85)),"""")"),"")</f>
        <v/>
      </c>
      <c r="I85" s="60" t="str">
        <f>IFERROR(__xludf.DUMMYFUNCTION("IFERROR(SUM(FILTER(FILTER('FY22 Budget'!$F$1:$AC$71,'FY22 Budget'!$F$1:$AC$1&gt;=(I$1),'FY22 Budget'!$F$1:$AC$1&lt;(J$1)),'FY22 Budget'!$C$1:$C$71=$D85)),"""")"),"")</f>
        <v/>
      </c>
      <c r="J85" s="60" t="str">
        <f>IFERROR(__xludf.DUMMYFUNCTION("IFERROR(SUM(FILTER(FILTER('FY22 Budget'!$F$1:$AC$71,'FY22 Budget'!$F$1:$AC$1&gt;=(J$1),'FY22 Budget'!$F$1:$AC$1&lt;(K$1)),'FY22 Budget'!$C$1:$C$71=$D85)),"""")"),"")</f>
        <v/>
      </c>
      <c r="K85" s="60" t="str">
        <f>IFERROR(__xludf.DUMMYFUNCTION("IFERROR(SUM(FILTER(FILTER('FY22 Budget'!$F$1:$AC$71,'FY22 Budget'!$F$1:$AC$1&gt;=(K$1),'FY22 Budget'!$F$1:$AC$1&lt;(L$1)),'FY22 Budget'!$C$1:$C$71=$D85)),"""")"),"")</f>
        <v/>
      </c>
      <c r="L85" s="60" t="str">
        <f>IFERROR(__xludf.DUMMYFUNCTION("IFERROR(SUM(FILTER(FILTER('FY22 Budget'!$F$1:$AC$71,'FY22 Budget'!$F$1:$AC$1&gt;=(L$1),'FY22 Budget'!$F$1:$AC$1&lt;(M$1)),'FY22 Budget'!$C$1:$C$71=$D85)),"""")"),"")</f>
        <v/>
      </c>
      <c r="M85" s="60" t="str">
        <f>IFERROR(__xludf.DUMMYFUNCTION("IFERROR(SUM(FILTER(FILTER('FY22 Budget'!$F$1:$AC$71,'FY22 Budget'!$F$1:$AC$1&gt;=(M$1),'FY22 Budget'!$F$1:$AC$1&lt;(N$1)),'FY22 Budget'!$C$1:$C$71=$D85)),"""")"),"")</f>
        <v/>
      </c>
      <c r="N85" s="60" t="str">
        <f>IFERROR(__xludf.DUMMYFUNCTION("IFERROR(SUM(FILTER(FILTER('FY22 Budget'!$F$1:$AC$71,'FY22 Budget'!$F$1:$AC$1&gt;=(N$1),'FY22 Budget'!$F$1:$AC$1&lt;(O$1)),'FY22 Budget'!$C$1:$C$71=$D85)),"""")"),"")</f>
        <v/>
      </c>
      <c r="O85" s="60" t="str">
        <f>IFERROR(__xludf.DUMMYFUNCTION("IFERROR(SUM(FILTER(FILTER('FY22 Budget'!$F$1:$AC$71,'FY22 Budget'!$F$1:$AC$1&gt;=(O$1),'FY22 Budget'!$F$1:$AC$1&lt;(P$1)),'FY22 Budget'!$C$1:$C$71=$D85)),"""")"),"")</f>
        <v/>
      </c>
      <c r="P85" s="60" t="str">
        <f>IFERROR(__xludf.DUMMYFUNCTION("IFERROR(SUM(FILTER(FILTER('FY22 Budget'!$F$1:$AC$71,'FY22 Budget'!$F$1:$AC$1&gt;=(P$1),'FY22 Budget'!$F$1:$AC$1&lt;(Q$1)),'FY22 Budget'!$C$1:$C$71=$D85)),"""")"),"")</f>
        <v/>
      </c>
      <c r="Q85" s="48"/>
      <c r="R85" s="60"/>
      <c r="S85" s="60">
        <f t="shared" ref="S85:AD85" si="84">SUM($E85:E85)</f>
        <v>0</v>
      </c>
      <c r="T85" s="60">
        <f t="shared" si="84"/>
        <v>0</v>
      </c>
      <c r="U85" s="60">
        <f t="shared" si="84"/>
        <v>0</v>
      </c>
      <c r="V85" s="60">
        <f t="shared" si="84"/>
        <v>0</v>
      </c>
      <c r="W85" s="60">
        <f t="shared" si="84"/>
        <v>0</v>
      </c>
      <c r="X85" s="60">
        <f t="shared" si="84"/>
        <v>0</v>
      </c>
      <c r="Y85" s="60">
        <f t="shared" si="84"/>
        <v>0</v>
      </c>
      <c r="Z85" s="60">
        <f t="shared" si="84"/>
        <v>0</v>
      </c>
      <c r="AA85" s="60">
        <f t="shared" si="84"/>
        <v>0</v>
      </c>
      <c r="AB85" s="60">
        <f t="shared" si="84"/>
        <v>0</v>
      </c>
      <c r="AC85" s="60">
        <f t="shared" si="84"/>
        <v>0</v>
      </c>
      <c r="AD85" s="60">
        <f t="shared" si="84"/>
        <v>0</v>
      </c>
      <c r="AE85" s="48"/>
    </row>
    <row r="86">
      <c r="A86" s="41" t="s">
        <v>18</v>
      </c>
      <c r="B86" s="41" t="s">
        <v>36</v>
      </c>
      <c r="C86" s="41" t="s">
        <v>17</v>
      </c>
      <c r="D86" s="59" t="s">
        <v>47</v>
      </c>
      <c r="E86" s="60">
        <f>IFERROR(VLOOKUP($D86,qboIS!$A$7:$O$112,COLUMN(E86)-2,FALSE),"")</f>
        <v>14087.28</v>
      </c>
      <c r="F86" s="60">
        <f>IFERROR(VLOOKUP($D86,qboIS!$A$7:$O$112,COLUMN(F86)-2,FALSE),"")</f>
        <v>50662.05</v>
      </c>
      <c r="G86" s="60">
        <f>IFERROR(VLOOKUP($D86,qboIS!$A$7:$O$112,COLUMN(G86)-2,FALSE),"")</f>
        <v>28829.07</v>
      </c>
      <c r="H86" s="60">
        <f>IFERROR(VLOOKUP($D86,qboIS!$A$7:$O$112,COLUMN(H86)-2,FALSE),"")</f>
        <v>27812.29</v>
      </c>
      <c r="I86" s="60">
        <f>IFERROR(VLOOKUP($D86,qboIS!$A$7:$O$112,COLUMN(I86)-2,FALSE),"")</f>
        <v>17222.54</v>
      </c>
      <c r="J86" s="60">
        <f>IFERROR(VLOOKUP($D86,qboIS!$A$7:$O$112,COLUMN(J86)-2,FALSE),"")</f>
        <v>25275.74</v>
      </c>
      <c r="K86" s="60">
        <f>IFERROR(VLOOKUP($D86,qboIS!$A$7:$O$112,COLUMN(K86)-2,FALSE),"")</f>
        <v>30377.61</v>
      </c>
      <c r="L86" s="60">
        <f>IFERROR(VLOOKUP($D86,qboIS!$A$7:$O$112,COLUMN(L86)-2,FALSE),"")</f>
        <v>29693.94</v>
      </c>
      <c r="M86" s="60">
        <f>IFERROR(VLOOKUP($D86,qboIS!$A$7:$O$112,COLUMN(M86)-2,FALSE),"")</f>
        <v>25861.26</v>
      </c>
      <c r="N86" s="60">
        <f>IFERROR(VLOOKUP($D86,qboIS!$A$7:$O$112,COLUMN(N86)-2,FALSE),"")</f>
        <v>249821.78</v>
      </c>
      <c r="O86" s="60" t="str">
        <f>IFERROR(VLOOKUP($D86,qboIS!$A$7:$O$112,COLUMN(O86)-2,FALSE),"")</f>
        <v/>
      </c>
      <c r="P86" s="60" t="str">
        <f>IFERROR(VLOOKUP($D86,qboIS!$A$7:$O$112,COLUMN(P86)-2,FALSE),"")</f>
        <v/>
      </c>
      <c r="Q86" s="60" t="str">
        <f>IFERROR(VLOOKUP($D86,qboIS!$A$7:$O$112,COLUMN(Q86)-2,FALSE),"")</f>
        <v/>
      </c>
      <c r="R86" s="60"/>
      <c r="S86" s="60">
        <f>IF(S$1&lt;=DataSettings!$B$3,SUM($E86:E86),"")</f>
        <v>14087.28</v>
      </c>
      <c r="T86" s="60">
        <f>IF(T$1&lt;=DataSettings!$B$3,SUM($E86:F86),"")</f>
        <v>64749.33</v>
      </c>
      <c r="U86" s="60">
        <f>IF(U$1&lt;=DataSettings!$B$3,SUM($E86:G86),"")</f>
        <v>93578.4</v>
      </c>
      <c r="V86" s="60">
        <f>IF(V$1&lt;=DataSettings!$B$3,SUM($E86:H86),"")</f>
        <v>121390.69</v>
      </c>
      <c r="W86" s="60">
        <f>IF(W$1&lt;=DataSettings!$B$3,SUM($E86:I86),"")</f>
        <v>138613.23</v>
      </c>
      <c r="X86" s="60">
        <f>IF(X$1&lt;=DataSettings!$B$3,SUM($E86:J86),"")</f>
        <v>163888.97</v>
      </c>
      <c r="Y86" s="60">
        <f>IF(Y$1&lt;=DataSettings!$B$3,SUM($E86:K86),"")</f>
        <v>194266.58</v>
      </c>
      <c r="Z86" s="60">
        <f>IF(Z$1&lt;=DataSettings!$B$3,SUM($E86:L86),"")</f>
        <v>223960.52</v>
      </c>
      <c r="AA86" s="60">
        <f>IF(AA$1&lt;=DataSettings!$B$3,SUM($E86:M86),"")</f>
        <v>249821.78</v>
      </c>
      <c r="AB86" s="60" t="str">
        <f>IF(AB$1&lt;=DataSettings!$B$3,SUM($E86:N86),"")</f>
        <v/>
      </c>
      <c r="AC86" s="60" t="str">
        <f>IF(AC$1&lt;=DataSettings!$B$3,SUM($E86:O86),"")</f>
        <v/>
      </c>
      <c r="AD86" s="60" t="str">
        <f>IF(AD$1&lt;=DataSettings!$B$3,SUM($E86:P86),"")</f>
        <v/>
      </c>
      <c r="AE86" s="60" t="str">
        <f>IF(AE$1&lt;=DataSettings!$B$3,SUM($E86:Q86),"")</f>
        <v/>
      </c>
    </row>
    <row r="87">
      <c r="A87" s="41" t="s">
        <v>18</v>
      </c>
      <c r="B87" s="41" t="s">
        <v>36</v>
      </c>
      <c r="C87" s="41" t="s">
        <v>17</v>
      </c>
      <c r="D87" s="59" t="s">
        <v>117</v>
      </c>
      <c r="E87" s="60">
        <f>IFERROR(VLOOKUP($D87,qboIS!$A$7:$O$112,COLUMN(E87)-2,FALSE),"")</f>
        <v>0.18</v>
      </c>
      <c r="F87" s="60" t="str">
        <f>IFERROR(VLOOKUP($D87,qboIS!$A$7:$O$112,COLUMN(F87)-2,FALSE),"")</f>
        <v/>
      </c>
      <c r="G87" s="60">
        <f>IFERROR(VLOOKUP($D87,qboIS!$A$7:$O$112,COLUMN(G87)-2,FALSE),"")</f>
        <v>0.2</v>
      </c>
      <c r="H87" s="60">
        <f>IFERROR(VLOOKUP($D87,qboIS!$A$7:$O$112,COLUMN(H87)-2,FALSE),"")</f>
        <v>0.35</v>
      </c>
      <c r="I87" s="60" t="str">
        <f>IFERROR(VLOOKUP($D87,qboIS!$A$7:$O$112,COLUMN(I87)-2,FALSE),"")</f>
        <v/>
      </c>
      <c r="J87" s="60">
        <f>IFERROR(VLOOKUP($D87,qboIS!$A$7:$O$112,COLUMN(J87)-2,FALSE),"")</f>
        <v>0.19</v>
      </c>
      <c r="K87" s="60">
        <f>IFERROR(VLOOKUP($D87,qboIS!$A$7:$O$112,COLUMN(K87)-2,FALSE),"")</f>
        <v>0.19</v>
      </c>
      <c r="L87" s="60">
        <f>IFERROR(VLOOKUP($D87,qboIS!$A$7:$O$112,COLUMN(L87)-2,FALSE),"")</f>
        <v>0.19</v>
      </c>
      <c r="M87" s="60">
        <f>IFERROR(VLOOKUP($D87,qboIS!$A$7:$O$112,COLUMN(M87)-2,FALSE),"")</f>
        <v>0.17</v>
      </c>
      <c r="N87" s="60">
        <f>IFERROR(VLOOKUP($D87,qboIS!$A$7:$O$112,COLUMN(N87)-2,FALSE),"")</f>
        <v>1.47</v>
      </c>
      <c r="O87" s="60" t="str">
        <f>IFERROR(VLOOKUP($D87,qboIS!$A$7:$O$112,COLUMN(O87)-2,FALSE),"")</f>
        <v/>
      </c>
      <c r="P87" s="60" t="str">
        <f>IFERROR(VLOOKUP($D87,qboIS!$A$7:$O$112,COLUMN(P87)-2,FALSE),"")</f>
        <v/>
      </c>
      <c r="Q87" s="60" t="str">
        <f>IFERROR(VLOOKUP($D87,qboIS!$A$7:$O$112,COLUMN(Q87)-2,FALSE),"")</f>
        <v/>
      </c>
      <c r="R87" s="60"/>
      <c r="S87" s="60">
        <f>IF(S$1&lt;=DataSettings!$B$3,SUM($E87:E87),"")</f>
        <v>0.18</v>
      </c>
      <c r="T87" s="60">
        <f>IF(T$1&lt;=DataSettings!$B$3,SUM($E87:F87),"")</f>
        <v>0.18</v>
      </c>
      <c r="U87" s="60">
        <f>IF(U$1&lt;=DataSettings!$B$3,SUM($E87:G87),"")</f>
        <v>0.38</v>
      </c>
      <c r="V87" s="60">
        <f>IF(V$1&lt;=DataSettings!$B$3,SUM($E87:H87),"")</f>
        <v>0.73</v>
      </c>
      <c r="W87" s="60">
        <f>IF(W$1&lt;=DataSettings!$B$3,SUM($E87:I87),"")</f>
        <v>0.73</v>
      </c>
      <c r="X87" s="60">
        <f>IF(X$1&lt;=DataSettings!$B$3,SUM($E87:J87),"")</f>
        <v>0.92</v>
      </c>
      <c r="Y87" s="60">
        <f>IF(Y$1&lt;=DataSettings!$B$3,SUM($E87:K87),"")</f>
        <v>1.11</v>
      </c>
      <c r="Z87" s="60">
        <f>IF(Z$1&lt;=DataSettings!$B$3,SUM($E87:L87),"")</f>
        <v>1.3</v>
      </c>
      <c r="AA87" s="60">
        <f>IF(AA$1&lt;=DataSettings!$B$3,SUM($E87:M87),"")</f>
        <v>1.47</v>
      </c>
      <c r="AB87" s="60" t="str">
        <f>IF(AB$1&lt;=DataSettings!$B$3,SUM($E87:N87),"")</f>
        <v/>
      </c>
      <c r="AC87" s="60" t="str">
        <f>IF(AC$1&lt;=DataSettings!$B$3,SUM($E87:O87),"")</f>
        <v/>
      </c>
      <c r="AD87" s="60" t="str">
        <f>IF(AD$1&lt;=DataSettings!$B$3,SUM($E87:P87),"")</f>
        <v/>
      </c>
      <c r="AE87" s="60" t="str">
        <f>IF(AE$1&lt;=DataSettings!$B$3,SUM($E87:Q87),"")</f>
        <v/>
      </c>
    </row>
    <row r="88">
      <c r="A88" s="41" t="s">
        <v>18</v>
      </c>
      <c r="B88" s="41" t="s">
        <v>36</v>
      </c>
      <c r="C88" s="41" t="s">
        <v>17</v>
      </c>
      <c r="D88" s="59" t="s">
        <v>48</v>
      </c>
      <c r="E88" s="60">
        <f>IFERROR(VLOOKUP($D88,qboIS!$A$7:$O$112,COLUMN(E88)-2,FALSE),"")</f>
        <v>545</v>
      </c>
      <c r="F88" s="60">
        <f>IFERROR(VLOOKUP($D88,qboIS!$A$7:$O$112,COLUMN(F88)-2,FALSE),"")</f>
        <v>3400</v>
      </c>
      <c r="G88" s="60">
        <f>IFERROR(VLOOKUP($D88,qboIS!$A$7:$O$112,COLUMN(G88)-2,FALSE),"")</f>
        <v>1345</v>
      </c>
      <c r="H88" s="60">
        <f>IFERROR(VLOOKUP($D88,qboIS!$A$7:$O$112,COLUMN(H88)-2,FALSE),"")</f>
        <v>529.35</v>
      </c>
      <c r="I88" s="60">
        <f>IFERROR(VLOOKUP($D88,qboIS!$A$7:$O$112,COLUMN(I88)-2,FALSE),"")</f>
        <v>1655.45</v>
      </c>
      <c r="J88" s="60">
        <f>IFERROR(VLOOKUP($D88,qboIS!$A$7:$O$112,COLUMN(J88)-2,FALSE),"")</f>
        <v>4088.4</v>
      </c>
      <c r="K88" s="60">
        <f>IFERROR(VLOOKUP($D88,qboIS!$A$7:$O$112,COLUMN(K88)-2,FALSE),"")</f>
        <v>145</v>
      </c>
      <c r="L88" s="60">
        <f>IFERROR(VLOOKUP($D88,qboIS!$A$7:$O$112,COLUMN(L88)-2,FALSE),"")</f>
        <v>1539.35</v>
      </c>
      <c r="M88" s="60">
        <f>IFERROR(VLOOKUP($D88,qboIS!$A$7:$O$112,COLUMN(M88)-2,FALSE),"")</f>
        <v>1554.4</v>
      </c>
      <c r="N88" s="60">
        <f>IFERROR(VLOOKUP($D88,qboIS!$A$7:$O$112,COLUMN(N88)-2,FALSE),"")</f>
        <v>14801.95</v>
      </c>
      <c r="O88" s="60" t="str">
        <f>IFERROR(VLOOKUP($D88,qboIS!$A$7:$O$112,COLUMN(O88)-2,FALSE),"")</f>
        <v/>
      </c>
      <c r="P88" s="60" t="str">
        <f>IFERROR(VLOOKUP($D88,qboIS!$A$7:$O$112,COLUMN(P88)-2,FALSE),"")</f>
        <v/>
      </c>
      <c r="Q88" s="60" t="str">
        <f>IFERROR(VLOOKUP($D88,qboIS!$A$7:$O$112,COLUMN(Q88)-2,FALSE),"")</f>
        <v/>
      </c>
      <c r="R88" s="60"/>
      <c r="S88" s="60">
        <f>IF(S$1&lt;=DataSettings!$B$3,SUM($E88:E88),"")</f>
        <v>545</v>
      </c>
      <c r="T88" s="60">
        <f>IF(T$1&lt;=DataSettings!$B$3,SUM($E88:F88),"")</f>
        <v>3945</v>
      </c>
      <c r="U88" s="60">
        <f>IF(U$1&lt;=DataSettings!$B$3,SUM($E88:G88),"")</f>
        <v>5290</v>
      </c>
      <c r="V88" s="60">
        <f>IF(V$1&lt;=DataSettings!$B$3,SUM($E88:H88),"")</f>
        <v>5819.35</v>
      </c>
      <c r="W88" s="60">
        <f>IF(W$1&lt;=DataSettings!$B$3,SUM($E88:I88),"")</f>
        <v>7474.8</v>
      </c>
      <c r="X88" s="60">
        <f>IF(X$1&lt;=DataSettings!$B$3,SUM($E88:J88),"")</f>
        <v>11563.2</v>
      </c>
      <c r="Y88" s="60">
        <f>IF(Y$1&lt;=DataSettings!$B$3,SUM($E88:K88),"")</f>
        <v>11708.2</v>
      </c>
      <c r="Z88" s="60">
        <f>IF(Z$1&lt;=DataSettings!$B$3,SUM($E88:L88),"")</f>
        <v>13247.55</v>
      </c>
      <c r="AA88" s="60">
        <f>IF(AA$1&lt;=DataSettings!$B$3,SUM($E88:M88),"")</f>
        <v>14801.95</v>
      </c>
      <c r="AB88" s="60" t="str">
        <f>IF(AB$1&lt;=DataSettings!$B$3,SUM($E88:N88),"")</f>
        <v/>
      </c>
      <c r="AC88" s="60" t="str">
        <f>IF(AC$1&lt;=DataSettings!$B$3,SUM($E88:O88),"")</f>
        <v/>
      </c>
      <c r="AD88" s="60" t="str">
        <f>IF(AD$1&lt;=DataSettings!$B$3,SUM($E88:P88),"")</f>
        <v/>
      </c>
      <c r="AE88" s="60" t="str">
        <f>IF(AE$1&lt;=DataSettings!$B$3,SUM($E88:Q88),"")</f>
        <v/>
      </c>
    </row>
    <row r="89">
      <c r="A89" s="41" t="s">
        <v>18</v>
      </c>
      <c r="B89" s="41" t="s">
        <v>36</v>
      </c>
      <c r="C89" s="41" t="s">
        <v>17</v>
      </c>
      <c r="D89" s="59" t="s">
        <v>118</v>
      </c>
      <c r="E89" s="60" t="str">
        <f>IFERROR(VLOOKUP($D89,qboIS!$A$7:$O$112,COLUMN(E89)-2,FALSE),"")</f>
        <v/>
      </c>
      <c r="F89" s="60">
        <f>IFERROR(VLOOKUP($D89,qboIS!$A$7:$O$112,COLUMN(F89)-2,FALSE),"")</f>
        <v>110</v>
      </c>
      <c r="G89" s="60" t="str">
        <f>IFERROR(VLOOKUP($D89,qboIS!$A$7:$O$112,COLUMN(G89)-2,FALSE),"")</f>
        <v/>
      </c>
      <c r="H89" s="60" t="str">
        <f>IFERROR(VLOOKUP($D89,qboIS!$A$7:$O$112,COLUMN(H89)-2,FALSE),"")</f>
        <v/>
      </c>
      <c r="I89" s="60" t="str">
        <f>IFERROR(VLOOKUP($D89,qboIS!$A$7:$O$112,COLUMN(I89)-2,FALSE),"")</f>
        <v/>
      </c>
      <c r="J89" s="60" t="str">
        <f>IFERROR(VLOOKUP($D89,qboIS!$A$7:$O$112,COLUMN(J89)-2,FALSE),"")</f>
        <v/>
      </c>
      <c r="K89" s="60" t="str">
        <f>IFERROR(VLOOKUP($D89,qboIS!$A$7:$O$112,COLUMN(K89)-2,FALSE),"")</f>
        <v/>
      </c>
      <c r="L89" s="60" t="str">
        <f>IFERROR(VLOOKUP($D89,qboIS!$A$7:$O$112,COLUMN(L89)-2,FALSE),"")</f>
        <v/>
      </c>
      <c r="M89" s="60" t="str">
        <f>IFERROR(VLOOKUP($D89,qboIS!$A$7:$O$112,COLUMN(M89)-2,FALSE),"")</f>
        <v/>
      </c>
      <c r="N89" s="60">
        <f>IFERROR(VLOOKUP($D89,qboIS!$A$7:$O$112,COLUMN(N89)-2,FALSE),"")</f>
        <v>110</v>
      </c>
      <c r="O89" s="60" t="str">
        <f>IFERROR(VLOOKUP($D89,qboIS!$A$7:$O$112,COLUMN(O89)-2,FALSE),"")</f>
        <v/>
      </c>
      <c r="P89" s="60" t="str">
        <f>IFERROR(VLOOKUP($D89,qboIS!$A$7:$O$112,COLUMN(P89)-2,FALSE),"")</f>
        <v/>
      </c>
      <c r="Q89" s="60" t="str">
        <f>IFERROR(VLOOKUP($D89,qboIS!$A$7:$O$112,COLUMN(Q89)-2,FALSE),"")</f>
        <v/>
      </c>
      <c r="R89" s="60"/>
      <c r="S89" s="60">
        <f>IF(S$1&lt;=DataSettings!$B$3,SUM($E89:E89),"")</f>
        <v>0</v>
      </c>
      <c r="T89" s="60">
        <f>IF(T$1&lt;=DataSettings!$B$3,SUM($E89:F89),"")</f>
        <v>110</v>
      </c>
      <c r="U89" s="60">
        <f>IF(U$1&lt;=DataSettings!$B$3,SUM($E89:G89),"")</f>
        <v>110</v>
      </c>
      <c r="V89" s="60">
        <f>IF(V$1&lt;=DataSettings!$B$3,SUM($E89:H89),"")</f>
        <v>110</v>
      </c>
      <c r="W89" s="60">
        <f>IF(W$1&lt;=DataSettings!$B$3,SUM($E89:I89),"")</f>
        <v>110</v>
      </c>
      <c r="X89" s="60">
        <f>IF(X$1&lt;=DataSettings!$B$3,SUM($E89:J89),"")</f>
        <v>110</v>
      </c>
      <c r="Y89" s="60">
        <f>IF(Y$1&lt;=DataSettings!$B$3,SUM($E89:K89),"")</f>
        <v>110</v>
      </c>
      <c r="Z89" s="60">
        <f>IF(Z$1&lt;=DataSettings!$B$3,SUM($E89:L89),"")</f>
        <v>110</v>
      </c>
      <c r="AA89" s="60">
        <f>IF(AA$1&lt;=DataSettings!$B$3,SUM($E89:M89),"")</f>
        <v>110</v>
      </c>
      <c r="AB89" s="60" t="str">
        <f>IF(AB$1&lt;=DataSettings!$B$3,SUM($E89:N89),"")</f>
        <v/>
      </c>
      <c r="AC89" s="60" t="str">
        <f>IF(AC$1&lt;=DataSettings!$B$3,SUM($E89:O89),"")</f>
        <v/>
      </c>
      <c r="AD89" s="60" t="str">
        <f>IF(AD$1&lt;=DataSettings!$B$3,SUM($E89:P89),"")</f>
        <v/>
      </c>
      <c r="AE89" s="60" t="str">
        <f>IF(AE$1&lt;=DataSettings!$B$3,SUM($E89:Q89),"")</f>
        <v/>
      </c>
    </row>
    <row r="90">
      <c r="A90" s="41" t="s">
        <v>18</v>
      </c>
      <c r="B90" s="41" t="s">
        <v>36</v>
      </c>
      <c r="C90" s="41" t="s">
        <v>17</v>
      </c>
      <c r="D90" s="59" t="s">
        <v>49</v>
      </c>
      <c r="E90" s="60" t="str">
        <f>IFERROR(VLOOKUP($D90,qboIS!$A$7:$O$112,COLUMN(E90)-2,FALSE),"")</f>
        <v/>
      </c>
      <c r="F90" s="60">
        <f>IFERROR(VLOOKUP($D90,qboIS!$A$7:$O$112,COLUMN(F90)-2,FALSE),"")</f>
        <v>160</v>
      </c>
      <c r="G90" s="60">
        <f>IFERROR(VLOOKUP($D90,qboIS!$A$7:$O$112,COLUMN(G90)-2,FALSE),"")</f>
        <v>2490</v>
      </c>
      <c r="H90" s="60">
        <f>IFERROR(VLOOKUP($D90,qboIS!$A$7:$O$112,COLUMN(H90)-2,FALSE),"")</f>
        <v>-40</v>
      </c>
      <c r="I90" s="60">
        <f>IFERROR(VLOOKUP($D90,qboIS!$A$7:$O$112,COLUMN(I90)-2,FALSE),"")</f>
        <v>500</v>
      </c>
      <c r="J90" s="60">
        <f>IFERROR(VLOOKUP($D90,qboIS!$A$7:$O$112,COLUMN(J90)-2,FALSE),"")</f>
        <v>295</v>
      </c>
      <c r="K90" s="60" t="str">
        <f>IFERROR(VLOOKUP($D90,qboIS!$A$7:$O$112,COLUMN(K90)-2,FALSE),"")</f>
        <v/>
      </c>
      <c r="L90" s="60" t="str">
        <f>IFERROR(VLOOKUP($D90,qboIS!$A$7:$O$112,COLUMN(L90)-2,FALSE),"")</f>
        <v/>
      </c>
      <c r="M90" s="60">
        <f>IFERROR(VLOOKUP($D90,qboIS!$A$7:$O$112,COLUMN(M90)-2,FALSE),"")</f>
        <v>225</v>
      </c>
      <c r="N90" s="60">
        <f>IFERROR(VLOOKUP($D90,qboIS!$A$7:$O$112,COLUMN(N90)-2,FALSE),"")</f>
        <v>3630</v>
      </c>
      <c r="O90" s="60" t="str">
        <f>IFERROR(VLOOKUP($D90,qboIS!$A$7:$O$112,COLUMN(O90)-2,FALSE),"")</f>
        <v/>
      </c>
      <c r="P90" s="60" t="str">
        <f>IFERROR(VLOOKUP($D90,qboIS!$A$7:$O$112,COLUMN(P90)-2,FALSE),"")</f>
        <v/>
      </c>
      <c r="Q90" s="60" t="str">
        <f>IFERROR(VLOOKUP($D90,qboIS!$A$7:$O$112,COLUMN(Q90)-2,FALSE),"")</f>
        <v/>
      </c>
      <c r="R90" s="60"/>
      <c r="S90" s="60">
        <f>IF(S$1&lt;=DataSettings!$B$3,SUM($E90:E90),"")</f>
        <v>0</v>
      </c>
      <c r="T90" s="60">
        <f>IF(T$1&lt;=DataSettings!$B$3,SUM($E90:F90),"")</f>
        <v>160</v>
      </c>
      <c r="U90" s="60">
        <f>IF(U$1&lt;=DataSettings!$B$3,SUM($E90:G90),"")</f>
        <v>2650</v>
      </c>
      <c r="V90" s="60">
        <f>IF(V$1&lt;=DataSettings!$B$3,SUM($E90:H90),"")</f>
        <v>2610</v>
      </c>
      <c r="W90" s="60">
        <f>IF(W$1&lt;=DataSettings!$B$3,SUM($E90:I90),"")</f>
        <v>3110</v>
      </c>
      <c r="X90" s="60">
        <f>IF(X$1&lt;=DataSettings!$B$3,SUM($E90:J90),"")</f>
        <v>3405</v>
      </c>
      <c r="Y90" s="60">
        <f>IF(Y$1&lt;=DataSettings!$B$3,SUM($E90:K90),"")</f>
        <v>3405</v>
      </c>
      <c r="Z90" s="60">
        <f>IF(Z$1&lt;=DataSettings!$B$3,SUM($E90:L90),"")</f>
        <v>3405</v>
      </c>
      <c r="AA90" s="60">
        <f>IF(AA$1&lt;=DataSettings!$B$3,SUM($E90:M90),"")</f>
        <v>3630</v>
      </c>
      <c r="AB90" s="60" t="str">
        <f>IF(AB$1&lt;=DataSettings!$B$3,SUM($E90:N90),"")</f>
        <v/>
      </c>
      <c r="AC90" s="60" t="str">
        <f>IF(AC$1&lt;=DataSettings!$B$3,SUM($E90:O90),"")</f>
        <v/>
      </c>
      <c r="AD90" s="60" t="str">
        <f>IF(AD$1&lt;=DataSettings!$B$3,SUM($E90:P90),"")</f>
        <v/>
      </c>
      <c r="AE90" s="60" t="str">
        <f>IF(AE$1&lt;=DataSettings!$B$3,SUM($E90:Q90),"")</f>
        <v/>
      </c>
    </row>
    <row r="91">
      <c r="A91" s="41" t="s">
        <v>18</v>
      </c>
      <c r="B91" s="41" t="s">
        <v>36</v>
      </c>
      <c r="C91" s="41" t="s">
        <v>17</v>
      </c>
      <c r="D91" s="59" t="s">
        <v>119</v>
      </c>
      <c r="E91" s="60">
        <f>IFERROR(VLOOKUP($D91,qboIS!$A$7:$O$112,COLUMN(E91)-2,FALSE),"")</f>
        <v>490</v>
      </c>
      <c r="F91" s="60">
        <f>IFERROR(VLOOKUP($D91,qboIS!$A$7:$O$112,COLUMN(F91)-2,FALSE),"")</f>
        <v>2379.5</v>
      </c>
      <c r="G91" s="60">
        <f>IFERROR(VLOOKUP($D91,qboIS!$A$7:$O$112,COLUMN(G91)-2,FALSE),"")</f>
        <v>752.27</v>
      </c>
      <c r="H91" s="60">
        <f>IFERROR(VLOOKUP($D91,qboIS!$A$7:$O$112,COLUMN(H91)-2,FALSE),"")</f>
        <v>280</v>
      </c>
      <c r="I91" s="60">
        <f>IFERROR(VLOOKUP($D91,qboIS!$A$7:$O$112,COLUMN(I91)-2,FALSE),"")</f>
        <v>390</v>
      </c>
      <c r="J91" s="60">
        <f>IFERROR(VLOOKUP($D91,qboIS!$A$7:$O$112,COLUMN(J91)-2,FALSE),"")</f>
        <v>580</v>
      </c>
      <c r="K91" s="60">
        <f>IFERROR(VLOOKUP($D91,qboIS!$A$7:$O$112,COLUMN(K91)-2,FALSE),"")</f>
        <v>505</v>
      </c>
      <c r="L91" s="60">
        <f>IFERROR(VLOOKUP($D91,qboIS!$A$7:$O$112,COLUMN(L91)-2,FALSE),"")</f>
        <v>180</v>
      </c>
      <c r="M91" s="60">
        <f>IFERROR(VLOOKUP($D91,qboIS!$A$7:$O$112,COLUMN(M91)-2,FALSE),"")</f>
        <v>50</v>
      </c>
      <c r="N91" s="60">
        <f>IFERROR(VLOOKUP($D91,qboIS!$A$7:$O$112,COLUMN(N91)-2,FALSE),"")</f>
        <v>5606.77</v>
      </c>
      <c r="O91" s="60" t="str">
        <f>IFERROR(VLOOKUP($D91,qboIS!$A$7:$O$112,COLUMN(O91)-2,FALSE),"")</f>
        <v/>
      </c>
      <c r="P91" s="60" t="str">
        <f>IFERROR(VLOOKUP($D91,qboIS!$A$7:$O$112,COLUMN(P91)-2,FALSE),"")</f>
        <v/>
      </c>
      <c r="Q91" s="60" t="str">
        <f>IFERROR(VLOOKUP($D91,qboIS!$A$7:$O$112,COLUMN(Q91)-2,FALSE),"")</f>
        <v/>
      </c>
      <c r="R91" s="60"/>
      <c r="S91" s="60">
        <f>IF(S$1&lt;=DataSettings!$B$3,SUM($E91:E91),"")</f>
        <v>490</v>
      </c>
      <c r="T91" s="60">
        <f>IF(T$1&lt;=DataSettings!$B$3,SUM($E91:F91),"")</f>
        <v>2869.5</v>
      </c>
      <c r="U91" s="60">
        <f>IF(U$1&lt;=DataSettings!$B$3,SUM($E91:G91),"")</f>
        <v>3621.77</v>
      </c>
      <c r="V91" s="60">
        <f>IF(V$1&lt;=DataSettings!$B$3,SUM($E91:H91),"")</f>
        <v>3901.77</v>
      </c>
      <c r="W91" s="60">
        <f>IF(W$1&lt;=DataSettings!$B$3,SUM($E91:I91),"")</f>
        <v>4291.77</v>
      </c>
      <c r="X91" s="60">
        <f>IF(X$1&lt;=DataSettings!$B$3,SUM($E91:J91),"")</f>
        <v>4871.77</v>
      </c>
      <c r="Y91" s="60">
        <f>IF(Y$1&lt;=DataSettings!$B$3,SUM($E91:K91),"")</f>
        <v>5376.77</v>
      </c>
      <c r="Z91" s="60">
        <f>IF(Z$1&lt;=DataSettings!$B$3,SUM($E91:L91),"")</f>
        <v>5556.77</v>
      </c>
      <c r="AA91" s="60">
        <f>IF(AA$1&lt;=DataSettings!$B$3,SUM($E91:M91),"")</f>
        <v>5606.77</v>
      </c>
      <c r="AB91" s="60" t="str">
        <f>IF(AB$1&lt;=DataSettings!$B$3,SUM($E91:N91),"")</f>
        <v/>
      </c>
      <c r="AC91" s="60" t="str">
        <f>IF(AC$1&lt;=DataSettings!$B$3,SUM($E91:O91),"")</f>
        <v/>
      </c>
      <c r="AD91" s="60" t="str">
        <f>IF(AD$1&lt;=DataSettings!$B$3,SUM($E91:P91),"")</f>
        <v/>
      </c>
      <c r="AE91" s="60" t="str">
        <f>IF(AE$1&lt;=DataSettings!$B$3,SUM($E91:Q91),"")</f>
        <v/>
      </c>
    </row>
    <row r="92">
      <c r="A92" s="41" t="s">
        <v>18</v>
      </c>
      <c r="B92" s="41" t="s">
        <v>36</v>
      </c>
      <c r="C92" s="41" t="s">
        <v>17</v>
      </c>
      <c r="D92" s="41" t="s">
        <v>131</v>
      </c>
      <c r="E92" s="60" t="str">
        <f>IFERROR(VLOOKUP($D92,qboIS!$A$7:$O$112,COLUMN(E92)-2,FALSE),"")</f>
        <v/>
      </c>
      <c r="F92" s="60" t="str">
        <f>IFERROR(VLOOKUP($D92,qboIS!$A$7:$O$112,COLUMN(F92)-2,FALSE),"")</f>
        <v/>
      </c>
      <c r="G92" s="60" t="str">
        <f>IFERROR(VLOOKUP($D92,qboIS!$A$7:$O$112,COLUMN(G92)-2,FALSE),"")</f>
        <v/>
      </c>
      <c r="H92" s="60" t="str">
        <f>IFERROR(VLOOKUP($D92,qboIS!$A$7:$O$112,COLUMN(H92)-2,FALSE),"")</f>
        <v/>
      </c>
      <c r="I92" s="60">
        <f>IFERROR(VLOOKUP($D92,qboIS!$A$7:$O$112,COLUMN(I92)-2,FALSE),"")</f>
        <v>1753.06</v>
      </c>
      <c r="J92" s="60" t="str">
        <f>IFERROR(VLOOKUP($D92,qboIS!$A$7:$O$112,COLUMN(J92)-2,FALSE),"")</f>
        <v/>
      </c>
      <c r="K92" s="60" t="str">
        <f>IFERROR(VLOOKUP($D92,qboIS!$A$7:$O$112,COLUMN(K92)-2,FALSE),"")</f>
        <v/>
      </c>
      <c r="L92" s="60" t="str">
        <f>IFERROR(VLOOKUP($D92,qboIS!$A$7:$O$112,COLUMN(L92)-2,FALSE),"")</f>
        <v/>
      </c>
      <c r="M92" s="60" t="str">
        <f>IFERROR(VLOOKUP($D92,qboIS!$A$7:$O$112,COLUMN(M92)-2,FALSE),"")</f>
        <v/>
      </c>
      <c r="N92" s="60">
        <f>IFERROR(VLOOKUP($D92,qboIS!$A$7:$O$112,COLUMN(N92)-2,FALSE),"")</f>
        <v>1753.06</v>
      </c>
      <c r="O92" s="60" t="str">
        <f>IFERROR(VLOOKUP($D92,qboIS!$A$7:$O$112,COLUMN(O92)-2,FALSE),"")</f>
        <v/>
      </c>
      <c r="P92" s="60" t="str">
        <f>IFERROR(VLOOKUP($D92,qboIS!$A$7:$O$112,COLUMN(P92)-2,FALSE),"")</f>
        <v/>
      </c>
      <c r="Q92" s="60" t="str">
        <f>IFERROR(VLOOKUP($D92,qboIS!$A$7:$O$112,COLUMN(Q92)-2,FALSE),"")</f>
        <v/>
      </c>
      <c r="R92" s="60"/>
      <c r="S92" s="60">
        <f>IF(S$1&lt;=DataSettings!$B$3,SUM($E92:E92),"")</f>
        <v>0</v>
      </c>
      <c r="T92" s="60">
        <f>IF(T$1&lt;=DataSettings!$B$3,SUM($E92:F92),"")</f>
        <v>0</v>
      </c>
      <c r="U92" s="60">
        <f>IF(U$1&lt;=DataSettings!$B$3,SUM($E92:G92),"")</f>
        <v>0</v>
      </c>
      <c r="V92" s="60">
        <f>IF(V$1&lt;=DataSettings!$B$3,SUM($E92:H92),"")</f>
        <v>0</v>
      </c>
      <c r="W92" s="60">
        <f>IF(W$1&lt;=DataSettings!$B$3,SUM($E92:I92),"")</f>
        <v>1753.06</v>
      </c>
      <c r="X92" s="60">
        <f>IF(X$1&lt;=DataSettings!$B$3,SUM($E92:J92),"")</f>
        <v>1753.06</v>
      </c>
      <c r="Y92" s="60">
        <f>IF(Y$1&lt;=DataSettings!$B$3,SUM($E92:K92),"")</f>
        <v>1753.06</v>
      </c>
      <c r="Z92" s="60">
        <f>IF(Z$1&lt;=DataSettings!$B$3,SUM($E92:L92),"")</f>
        <v>1753.06</v>
      </c>
      <c r="AA92" s="60">
        <f>IF(AA$1&lt;=DataSettings!$B$3,SUM($E92:M92),"")</f>
        <v>1753.06</v>
      </c>
      <c r="AB92" s="60" t="str">
        <f>IF(AB$1&lt;=DataSettings!$B$3,SUM($E92:N92),"")</f>
        <v/>
      </c>
      <c r="AC92" s="60" t="str">
        <f>IF(AC$1&lt;=DataSettings!$B$3,SUM($E92:O92),"")</f>
        <v/>
      </c>
      <c r="AD92" s="60" t="str">
        <f>IF(AD$1&lt;=DataSettings!$B$3,SUM($E92:P92),"")</f>
        <v/>
      </c>
      <c r="AE92" s="60" t="str">
        <f>IF(AE$1&lt;=DataSettings!$B$3,SUM($E92:Q92),"")</f>
        <v/>
      </c>
    </row>
    <row r="93">
      <c r="A93" s="41" t="s">
        <v>18</v>
      </c>
      <c r="B93" s="41" t="s">
        <v>36</v>
      </c>
      <c r="C93" s="41" t="s">
        <v>17</v>
      </c>
      <c r="D93" s="59" t="s">
        <v>50</v>
      </c>
      <c r="E93" s="60">
        <f>IFERROR(VLOOKUP($D93,qboIS!$A$7:$O$112,COLUMN(E93)-2,FALSE),"")</f>
        <v>37308.65</v>
      </c>
      <c r="F93" s="60">
        <f>IFERROR(VLOOKUP($D93,qboIS!$A$7:$O$112,COLUMN(F93)-2,FALSE),"")</f>
        <v>8297.04</v>
      </c>
      <c r="G93" s="60">
        <f>IFERROR(VLOOKUP($D93,qboIS!$A$7:$O$112,COLUMN(G93)-2,FALSE),"")</f>
        <v>15.28</v>
      </c>
      <c r="H93" s="60">
        <f>IFERROR(VLOOKUP($D93,qboIS!$A$7:$O$112,COLUMN(H93)-2,FALSE),"")</f>
        <v>2138.71</v>
      </c>
      <c r="I93" s="60">
        <f>IFERROR(VLOOKUP($D93,qboIS!$A$7:$O$112,COLUMN(I93)-2,FALSE),"")</f>
        <v>161061</v>
      </c>
      <c r="J93" s="60">
        <f>IFERROR(VLOOKUP($D93,qboIS!$A$7:$O$112,COLUMN(J93)-2,FALSE),"")</f>
        <v>216449</v>
      </c>
      <c r="K93" s="60">
        <f>IFERROR(VLOOKUP($D93,qboIS!$A$7:$O$112,COLUMN(K93)-2,FALSE),"")</f>
        <v>100202</v>
      </c>
      <c r="L93" s="60">
        <f>IFERROR(VLOOKUP($D93,qboIS!$A$7:$O$112,COLUMN(L93)-2,FALSE),"")</f>
        <v>11156.05</v>
      </c>
      <c r="M93" s="60">
        <f>IFERROR(VLOOKUP($D93,qboIS!$A$7:$O$112,COLUMN(M93)-2,FALSE),"")</f>
        <v>109.2</v>
      </c>
      <c r="N93" s="60">
        <f>IFERROR(VLOOKUP($D93,qboIS!$A$7:$O$112,COLUMN(N93)-2,FALSE),"")</f>
        <v>536736.93</v>
      </c>
      <c r="O93" s="60" t="str">
        <f>IFERROR(VLOOKUP($D93,qboIS!$A$7:$O$112,COLUMN(O93)-2,FALSE),"")</f>
        <v/>
      </c>
      <c r="P93" s="60" t="str">
        <f>IFERROR(VLOOKUP($D93,qboIS!$A$7:$O$112,COLUMN(P93)-2,FALSE),"")</f>
        <v/>
      </c>
      <c r="Q93" s="60" t="str">
        <f>IFERROR(VLOOKUP($D93,qboIS!$A$7:$O$112,COLUMN(Q93)-2,FALSE),"")</f>
        <v/>
      </c>
      <c r="R93" s="60"/>
      <c r="S93" s="60">
        <f>IF(S$1&lt;=DataSettings!$B$3,SUM($E93:E93),"")</f>
        <v>37308.65</v>
      </c>
      <c r="T93" s="60">
        <f>IF(T$1&lt;=DataSettings!$B$3,SUM($E93:F93),"")</f>
        <v>45605.69</v>
      </c>
      <c r="U93" s="60">
        <f>IF(U$1&lt;=DataSettings!$B$3,SUM($E93:G93),"")</f>
        <v>45620.97</v>
      </c>
      <c r="V93" s="60">
        <f>IF(V$1&lt;=DataSettings!$B$3,SUM($E93:H93),"")</f>
        <v>47759.68</v>
      </c>
      <c r="W93" s="60">
        <f>IF(W$1&lt;=DataSettings!$B$3,SUM($E93:I93),"")</f>
        <v>208820.68</v>
      </c>
      <c r="X93" s="60">
        <f>IF(X$1&lt;=DataSettings!$B$3,SUM($E93:J93),"")</f>
        <v>425269.68</v>
      </c>
      <c r="Y93" s="60">
        <f>IF(Y$1&lt;=DataSettings!$B$3,SUM($E93:K93),"")</f>
        <v>525471.68</v>
      </c>
      <c r="Z93" s="60">
        <f>IF(Z$1&lt;=DataSettings!$B$3,SUM($E93:L93),"")</f>
        <v>536627.73</v>
      </c>
      <c r="AA93" s="60">
        <f>IF(AA$1&lt;=DataSettings!$B$3,SUM($E93:M93),"")</f>
        <v>536736.93</v>
      </c>
      <c r="AB93" s="60" t="str">
        <f>IF(AB$1&lt;=DataSettings!$B$3,SUM($E93:N93),"")</f>
        <v/>
      </c>
      <c r="AC93" s="60" t="str">
        <f>IF(AC$1&lt;=DataSettings!$B$3,SUM($E93:O93),"")</f>
        <v/>
      </c>
      <c r="AD93" s="60" t="str">
        <f>IF(AD$1&lt;=DataSettings!$B$3,SUM($E93:P93),"")</f>
        <v/>
      </c>
      <c r="AE93" s="60" t="str">
        <f>IF(AE$1&lt;=DataSettings!$B$3,SUM($E93:Q93),"")</f>
        <v/>
      </c>
    </row>
    <row r="94">
      <c r="A94" s="41" t="s">
        <v>18</v>
      </c>
      <c r="B94" s="41" t="s">
        <v>36</v>
      </c>
      <c r="C94" s="41" t="s">
        <v>17</v>
      </c>
      <c r="D94" s="59" t="s">
        <v>51</v>
      </c>
      <c r="E94" s="60">
        <f>IFERROR(VLOOKUP($D94,qboIS!$A$7:$O$112,COLUMN(E94)-2,FALSE),"")</f>
        <v>251</v>
      </c>
      <c r="F94" s="60" t="str">
        <f>IFERROR(VLOOKUP($D94,qboIS!$A$7:$O$112,COLUMN(F94)-2,FALSE),"")</f>
        <v/>
      </c>
      <c r="G94" s="60" t="str">
        <f>IFERROR(VLOOKUP($D94,qboIS!$A$7:$O$112,COLUMN(G94)-2,FALSE),"")</f>
        <v/>
      </c>
      <c r="H94" s="60">
        <f>IFERROR(VLOOKUP($D94,qboIS!$A$7:$O$112,COLUMN(H94)-2,FALSE),"")</f>
        <v>242.41</v>
      </c>
      <c r="I94" s="60" t="str">
        <f>IFERROR(VLOOKUP($D94,qboIS!$A$7:$O$112,COLUMN(I94)-2,FALSE),"")</f>
        <v/>
      </c>
      <c r="J94" s="60" t="str">
        <f>IFERROR(VLOOKUP($D94,qboIS!$A$7:$O$112,COLUMN(J94)-2,FALSE),"")</f>
        <v/>
      </c>
      <c r="K94" s="60" t="str">
        <f>IFERROR(VLOOKUP($D94,qboIS!$A$7:$O$112,COLUMN(K94)-2,FALSE),"")</f>
        <v/>
      </c>
      <c r="L94" s="60" t="str">
        <f>IFERROR(VLOOKUP($D94,qboIS!$A$7:$O$112,COLUMN(L94)-2,FALSE),"")</f>
        <v/>
      </c>
      <c r="M94" s="60" t="str">
        <f>IFERROR(VLOOKUP($D94,qboIS!$A$7:$O$112,COLUMN(M94)-2,FALSE),"")</f>
        <v/>
      </c>
      <c r="N94" s="60">
        <f>IFERROR(VLOOKUP($D94,qboIS!$A$7:$O$112,COLUMN(N94)-2,FALSE),"")</f>
        <v>493.41</v>
      </c>
      <c r="O94" s="60" t="str">
        <f>IFERROR(VLOOKUP($D94,qboIS!$A$7:$O$112,COLUMN(O94)-2,FALSE),"")</f>
        <v/>
      </c>
      <c r="P94" s="60" t="str">
        <f>IFERROR(VLOOKUP($D94,qboIS!$A$7:$O$112,COLUMN(P94)-2,FALSE),"")</f>
        <v/>
      </c>
      <c r="Q94" s="60" t="str">
        <f>IFERROR(VLOOKUP($D94,qboIS!$A$7:$O$112,COLUMN(Q94)-2,FALSE),"")</f>
        <v/>
      </c>
      <c r="R94" s="60"/>
      <c r="S94" s="60">
        <f>IF(S$1&lt;=DataSettings!$B$3,SUM($E94:E94),"")</f>
        <v>251</v>
      </c>
      <c r="T94" s="60">
        <f>IF(T$1&lt;=DataSettings!$B$3,SUM($E94:F94),"")</f>
        <v>251</v>
      </c>
      <c r="U94" s="60">
        <f>IF(U$1&lt;=DataSettings!$B$3,SUM($E94:G94),"")</f>
        <v>251</v>
      </c>
      <c r="V94" s="60">
        <f>IF(V$1&lt;=DataSettings!$B$3,SUM($E94:H94),"")</f>
        <v>493.41</v>
      </c>
      <c r="W94" s="60">
        <f>IF(W$1&lt;=DataSettings!$B$3,SUM($E94:I94),"")</f>
        <v>493.41</v>
      </c>
      <c r="X94" s="60">
        <f>IF(X$1&lt;=DataSettings!$B$3,SUM($E94:J94),"")</f>
        <v>493.41</v>
      </c>
      <c r="Y94" s="60">
        <f>IF(Y$1&lt;=DataSettings!$B$3,SUM($E94:K94),"")</f>
        <v>493.41</v>
      </c>
      <c r="Z94" s="60">
        <f>IF(Z$1&lt;=DataSettings!$B$3,SUM($E94:L94),"")</f>
        <v>493.41</v>
      </c>
      <c r="AA94" s="60">
        <f>IF(AA$1&lt;=DataSettings!$B$3,SUM($E94:M94),"")</f>
        <v>493.41</v>
      </c>
      <c r="AB94" s="60" t="str">
        <f>IF(AB$1&lt;=DataSettings!$B$3,SUM($E94:N94),"")</f>
        <v/>
      </c>
      <c r="AC94" s="60" t="str">
        <f>IF(AC$1&lt;=DataSettings!$B$3,SUM($E94:O94),"")</f>
        <v/>
      </c>
      <c r="AD94" s="60" t="str">
        <f>IF(AD$1&lt;=DataSettings!$B$3,SUM($E94:P94),"")</f>
        <v/>
      </c>
      <c r="AE94" s="60" t="str">
        <f>IF(AE$1&lt;=DataSettings!$B$3,SUM($E94:Q94),"")</f>
        <v/>
      </c>
    </row>
    <row r="95">
      <c r="A95" s="41" t="s">
        <v>18</v>
      </c>
      <c r="B95" s="41" t="s">
        <v>36</v>
      </c>
      <c r="C95" s="41" t="s">
        <v>16</v>
      </c>
      <c r="D95" s="59" t="s">
        <v>52</v>
      </c>
      <c r="E95" s="60">
        <f>IFERROR(VLOOKUP($D95,qboIS!$A$7:$O$112,COLUMN(E95)-2,FALSE),"")</f>
        <v>168508</v>
      </c>
      <c r="F95" s="60">
        <f>IFERROR(VLOOKUP($D95,qboIS!$A$7:$O$112,COLUMN(F95)-2,FALSE),"")</f>
        <v>170136</v>
      </c>
      <c r="G95" s="60">
        <f>IFERROR(VLOOKUP($D95,qboIS!$A$7:$O$112,COLUMN(G95)-2,FALSE),"")</f>
        <v>257019</v>
      </c>
      <c r="H95" s="60">
        <f>IFERROR(VLOOKUP($D95,qboIS!$A$7:$O$112,COLUMN(H95)-2,FALSE),"")</f>
        <v>671537</v>
      </c>
      <c r="I95" s="60">
        <f>IFERROR(VLOOKUP($D95,qboIS!$A$7:$O$112,COLUMN(I95)-2,FALSE),"")</f>
        <v>350761</v>
      </c>
      <c r="J95" s="60">
        <f>IFERROR(VLOOKUP($D95,qboIS!$A$7:$O$112,COLUMN(J95)-2,FALSE),"")</f>
        <v>252900</v>
      </c>
      <c r="K95" s="60">
        <f>IFERROR(VLOOKUP($D95,qboIS!$A$7:$O$112,COLUMN(K95)-2,FALSE),"")</f>
        <v>305895</v>
      </c>
      <c r="L95" s="60">
        <f>IFERROR(VLOOKUP($D95,qboIS!$A$7:$O$112,COLUMN(L95)-2,FALSE),"")</f>
        <v>310939</v>
      </c>
      <c r="M95" s="60">
        <f>IFERROR(VLOOKUP($D95,qboIS!$A$7:$O$112,COLUMN(M95)-2,FALSE),"")</f>
        <v>507771</v>
      </c>
      <c r="N95" s="60">
        <f>IFERROR(VLOOKUP($D95,qboIS!$A$7:$O$112,COLUMN(N95)-2,FALSE),"")</f>
        <v>2995466</v>
      </c>
      <c r="O95" s="60" t="str">
        <f>IFERROR(VLOOKUP($D95,qboIS!$A$7:$O$112,COLUMN(O95)-2,FALSE),"")</f>
        <v/>
      </c>
      <c r="P95" s="60" t="str">
        <f>IFERROR(VLOOKUP($D95,qboIS!$A$7:$O$112,COLUMN(P95)-2,FALSE),"")</f>
        <v/>
      </c>
      <c r="Q95" s="60" t="str">
        <f>IFERROR(VLOOKUP($D95,qboIS!$A$7:$O$112,COLUMN(Q95)-2,FALSE),"")</f>
        <v/>
      </c>
      <c r="R95" s="60"/>
      <c r="S95" s="60">
        <f>IF(S$1&lt;=DataSettings!$B$3,SUM($E95:E95),"")</f>
        <v>168508</v>
      </c>
      <c r="T95" s="60">
        <f>IF(T$1&lt;=DataSettings!$B$3,SUM($E95:F95),"")</f>
        <v>338644</v>
      </c>
      <c r="U95" s="60">
        <f>IF(U$1&lt;=DataSettings!$B$3,SUM($E95:G95),"")</f>
        <v>595663</v>
      </c>
      <c r="V95" s="60">
        <f>IF(V$1&lt;=DataSettings!$B$3,SUM($E95:H95),"")</f>
        <v>1267200</v>
      </c>
      <c r="W95" s="60">
        <f>IF(W$1&lt;=DataSettings!$B$3,SUM($E95:I95),"")</f>
        <v>1617961</v>
      </c>
      <c r="X95" s="60">
        <f>IF(X$1&lt;=DataSettings!$B$3,SUM($E95:J95),"")</f>
        <v>1870861</v>
      </c>
      <c r="Y95" s="60">
        <f>IF(Y$1&lt;=DataSettings!$B$3,SUM($E95:K95),"")</f>
        <v>2176756</v>
      </c>
      <c r="Z95" s="60">
        <f>IF(Z$1&lt;=DataSettings!$B$3,SUM($E95:L95),"")</f>
        <v>2487695</v>
      </c>
      <c r="AA95" s="60">
        <f>IF(AA$1&lt;=DataSettings!$B$3,SUM($E95:M95),"")</f>
        <v>2995466</v>
      </c>
      <c r="AB95" s="60" t="str">
        <f>IF(AB$1&lt;=DataSettings!$B$3,SUM($E95:N95),"")</f>
        <v/>
      </c>
      <c r="AC95" s="60" t="str">
        <f>IF(AC$1&lt;=DataSettings!$B$3,SUM($E95:O95),"")</f>
        <v/>
      </c>
      <c r="AD95" s="60" t="str">
        <f>IF(AD$1&lt;=DataSettings!$B$3,SUM($E95:P95),"")</f>
        <v/>
      </c>
      <c r="AE95" s="60" t="str">
        <f>IF(AE$1&lt;=DataSettings!$B$3,SUM($E95:Q95),"")</f>
        <v/>
      </c>
    </row>
    <row r="96">
      <c r="A96" s="41" t="s">
        <v>18</v>
      </c>
      <c r="B96" s="41" t="s">
        <v>36</v>
      </c>
      <c r="C96" s="41" t="s">
        <v>16</v>
      </c>
      <c r="D96" s="59" t="s">
        <v>53</v>
      </c>
      <c r="E96" s="60">
        <f>IFERROR(VLOOKUP($D96,qboIS!$A$7:$O$112,COLUMN(E96)-2,FALSE),"")</f>
        <v>10832.29</v>
      </c>
      <c r="F96" s="60">
        <f>IFERROR(VLOOKUP($D96,qboIS!$A$7:$O$112,COLUMN(F96)-2,FALSE),"")</f>
        <v>8860.7</v>
      </c>
      <c r="G96" s="60">
        <f>IFERROR(VLOOKUP($D96,qboIS!$A$7:$O$112,COLUMN(G96)-2,FALSE),"")</f>
        <v>9840.03</v>
      </c>
      <c r="H96" s="60">
        <f>IFERROR(VLOOKUP($D96,qboIS!$A$7:$O$112,COLUMN(H96)-2,FALSE),"")</f>
        <v>9875.65</v>
      </c>
      <c r="I96" s="60">
        <f>IFERROR(VLOOKUP($D96,qboIS!$A$7:$O$112,COLUMN(I96)-2,FALSE),"")</f>
        <v>5667.97</v>
      </c>
      <c r="J96" s="60">
        <f>IFERROR(VLOOKUP($D96,qboIS!$A$7:$O$112,COLUMN(J96)-2,FALSE),"")</f>
        <v>9012.59</v>
      </c>
      <c r="K96" s="60">
        <f>IFERROR(VLOOKUP($D96,qboIS!$A$7:$O$112,COLUMN(K96)-2,FALSE),"")</f>
        <v>9035.71</v>
      </c>
      <c r="L96" s="60">
        <f>IFERROR(VLOOKUP($D96,qboIS!$A$7:$O$112,COLUMN(L96)-2,FALSE),"")</f>
        <v>8983.83</v>
      </c>
      <c r="M96" s="60">
        <f>IFERROR(VLOOKUP($D96,qboIS!$A$7:$O$112,COLUMN(M96)-2,FALSE),"")</f>
        <v>9015.59</v>
      </c>
      <c r="N96" s="60">
        <f>IFERROR(VLOOKUP($D96,qboIS!$A$7:$O$112,COLUMN(N96)-2,FALSE),"")</f>
        <v>81124.36</v>
      </c>
      <c r="O96" s="60" t="str">
        <f>IFERROR(VLOOKUP($D96,qboIS!$A$7:$O$112,COLUMN(O96)-2,FALSE),"")</f>
        <v/>
      </c>
      <c r="P96" s="60" t="str">
        <f>IFERROR(VLOOKUP($D96,qboIS!$A$7:$O$112,COLUMN(P96)-2,FALSE),"")</f>
        <v/>
      </c>
      <c r="Q96" s="60" t="str">
        <f>IFERROR(VLOOKUP($D96,qboIS!$A$7:$O$112,COLUMN(Q96)-2,FALSE),"")</f>
        <v/>
      </c>
      <c r="R96" s="60"/>
      <c r="S96" s="60">
        <f>IF(S$1&lt;=DataSettings!$B$3,SUM($E96:E96),"")</f>
        <v>10832.29</v>
      </c>
      <c r="T96" s="60">
        <f>IF(T$1&lt;=DataSettings!$B$3,SUM($E96:F96),"")</f>
        <v>19692.99</v>
      </c>
      <c r="U96" s="60">
        <f>IF(U$1&lt;=DataSettings!$B$3,SUM($E96:G96),"")</f>
        <v>29533.02</v>
      </c>
      <c r="V96" s="60">
        <f>IF(V$1&lt;=DataSettings!$B$3,SUM($E96:H96),"")</f>
        <v>39408.67</v>
      </c>
      <c r="W96" s="60">
        <f>IF(W$1&lt;=DataSettings!$B$3,SUM($E96:I96),"")</f>
        <v>45076.64</v>
      </c>
      <c r="X96" s="60">
        <f>IF(X$1&lt;=DataSettings!$B$3,SUM($E96:J96),"")</f>
        <v>54089.23</v>
      </c>
      <c r="Y96" s="60">
        <f>IF(Y$1&lt;=DataSettings!$B$3,SUM($E96:K96),"")</f>
        <v>63124.94</v>
      </c>
      <c r="Z96" s="60">
        <f>IF(Z$1&lt;=DataSettings!$B$3,SUM($E96:L96),"")</f>
        <v>72108.77</v>
      </c>
      <c r="AA96" s="60">
        <f>IF(AA$1&lt;=DataSettings!$B$3,SUM($E96:M96),"")</f>
        <v>81124.36</v>
      </c>
      <c r="AB96" s="60" t="str">
        <f>IF(AB$1&lt;=DataSettings!$B$3,SUM($E96:N96),"")</f>
        <v/>
      </c>
      <c r="AC96" s="60" t="str">
        <f>IF(AC$1&lt;=DataSettings!$B$3,SUM($E96:O96),"")</f>
        <v/>
      </c>
      <c r="AD96" s="60" t="str">
        <f>IF(AD$1&lt;=DataSettings!$B$3,SUM($E96:P96),"")</f>
        <v/>
      </c>
      <c r="AE96" s="60" t="str">
        <f>IF(AE$1&lt;=DataSettings!$B$3,SUM($E96:Q96),"")</f>
        <v/>
      </c>
    </row>
    <row r="97">
      <c r="A97" s="41" t="s">
        <v>18</v>
      </c>
      <c r="B97" s="41" t="s">
        <v>36</v>
      </c>
      <c r="C97" s="41" t="s">
        <v>15</v>
      </c>
      <c r="D97" s="59" t="s">
        <v>54</v>
      </c>
      <c r="E97" s="60" t="str">
        <f>IFERROR(VLOOKUP($D97,qboIS!$A$7:$O$112,COLUMN(E97)-2,FALSE),"")</f>
        <v/>
      </c>
      <c r="F97" s="60">
        <f>IFERROR(VLOOKUP($D97,qboIS!$A$7:$O$112,COLUMN(F97)-2,FALSE),"")</f>
        <v>4986.02</v>
      </c>
      <c r="G97" s="60" t="str">
        <f>IFERROR(VLOOKUP($D97,qboIS!$A$7:$O$112,COLUMN(G97)-2,FALSE),"")</f>
        <v/>
      </c>
      <c r="H97" s="60" t="str">
        <f>IFERROR(VLOOKUP($D97,qboIS!$A$7:$O$112,COLUMN(H97)-2,FALSE),"")</f>
        <v/>
      </c>
      <c r="I97" s="60" t="str">
        <f>IFERROR(VLOOKUP($D97,qboIS!$A$7:$O$112,COLUMN(I97)-2,FALSE),"")</f>
        <v/>
      </c>
      <c r="J97" s="60">
        <f>IFERROR(VLOOKUP($D97,qboIS!$A$7:$O$112,COLUMN(J97)-2,FALSE),"")</f>
        <v>1879.43</v>
      </c>
      <c r="K97" s="60" t="str">
        <f>IFERROR(VLOOKUP($D97,qboIS!$A$7:$O$112,COLUMN(K97)-2,FALSE),"")</f>
        <v/>
      </c>
      <c r="L97" s="60" t="str">
        <f>IFERROR(VLOOKUP($D97,qboIS!$A$7:$O$112,COLUMN(L97)-2,FALSE),"")</f>
        <v/>
      </c>
      <c r="M97" s="60">
        <f>IFERROR(VLOOKUP($D97,qboIS!$A$7:$O$112,COLUMN(M97)-2,FALSE),"")</f>
        <v>9689.45</v>
      </c>
      <c r="N97" s="60">
        <f>IFERROR(VLOOKUP($D97,qboIS!$A$7:$O$112,COLUMN(N97)-2,FALSE),"")</f>
        <v>16554.9</v>
      </c>
      <c r="O97" s="60" t="str">
        <f>IFERROR(VLOOKUP($D97,qboIS!$A$7:$O$112,COLUMN(O97)-2,FALSE),"")</f>
        <v/>
      </c>
      <c r="P97" s="60" t="str">
        <f>IFERROR(VLOOKUP($D97,qboIS!$A$7:$O$112,COLUMN(P97)-2,FALSE),"")</f>
        <v/>
      </c>
      <c r="Q97" s="60" t="str">
        <f>IFERROR(VLOOKUP($D97,qboIS!$A$7:$O$112,COLUMN(Q97)-2,FALSE),"")</f>
        <v/>
      </c>
      <c r="R97" s="60"/>
      <c r="S97" s="60">
        <f>IF(S$1&lt;=DataSettings!$B$3,SUM($E97:E97),"")</f>
        <v>0</v>
      </c>
      <c r="T97" s="60">
        <f>IF(T$1&lt;=DataSettings!$B$3,SUM($E97:F97),"")</f>
        <v>4986.02</v>
      </c>
      <c r="U97" s="60">
        <f>IF(U$1&lt;=DataSettings!$B$3,SUM($E97:G97),"")</f>
        <v>4986.02</v>
      </c>
      <c r="V97" s="60">
        <f>IF(V$1&lt;=DataSettings!$B$3,SUM($E97:H97),"")</f>
        <v>4986.02</v>
      </c>
      <c r="W97" s="60">
        <f>IF(W$1&lt;=DataSettings!$B$3,SUM($E97:I97),"")</f>
        <v>4986.02</v>
      </c>
      <c r="X97" s="60">
        <f>IF(X$1&lt;=DataSettings!$B$3,SUM($E97:J97),"")</f>
        <v>6865.45</v>
      </c>
      <c r="Y97" s="60">
        <f>IF(Y$1&lt;=DataSettings!$B$3,SUM($E97:K97),"")</f>
        <v>6865.45</v>
      </c>
      <c r="Z97" s="60">
        <f>IF(Z$1&lt;=DataSettings!$B$3,SUM($E97:L97),"")</f>
        <v>6865.45</v>
      </c>
      <c r="AA97" s="60">
        <f>IF(AA$1&lt;=DataSettings!$B$3,SUM($E97:M97),"")</f>
        <v>16554.9</v>
      </c>
      <c r="AB97" s="60" t="str">
        <f>IF(AB$1&lt;=DataSettings!$B$3,SUM($E97:N97),"")</f>
        <v/>
      </c>
      <c r="AC97" s="60" t="str">
        <f>IF(AC$1&lt;=DataSettings!$B$3,SUM($E97:O97),"")</f>
        <v/>
      </c>
      <c r="AD97" s="60" t="str">
        <f>IF(AD$1&lt;=DataSettings!$B$3,SUM($E97:P97),"")</f>
        <v/>
      </c>
      <c r="AE97" s="60" t="str">
        <f>IF(AE$1&lt;=DataSettings!$B$3,SUM($E97:Q97),"")</f>
        <v/>
      </c>
    </row>
    <row r="98">
      <c r="A98" s="41" t="s">
        <v>18</v>
      </c>
      <c r="B98" s="41" t="s">
        <v>36</v>
      </c>
      <c r="C98" s="41" t="s">
        <v>15</v>
      </c>
      <c r="D98" s="59" t="s">
        <v>55</v>
      </c>
      <c r="E98" s="60" t="str">
        <f>IFERROR(VLOOKUP($D98,qboIS!$A$7:$O$112,COLUMN(E98)-2,FALSE),"")</f>
        <v/>
      </c>
      <c r="F98" s="60" t="str">
        <f>IFERROR(VLOOKUP($D98,qboIS!$A$7:$O$112,COLUMN(F98)-2,FALSE),"")</f>
        <v/>
      </c>
      <c r="G98" s="60" t="str">
        <f>IFERROR(VLOOKUP($D98,qboIS!$A$7:$O$112,COLUMN(G98)-2,FALSE),"")</f>
        <v/>
      </c>
      <c r="H98" s="60" t="str">
        <f>IFERROR(VLOOKUP($D98,qboIS!$A$7:$O$112,COLUMN(H98)-2,FALSE),"")</f>
        <v/>
      </c>
      <c r="I98" s="60" t="str">
        <f>IFERROR(VLOOKUP($D98,qboIS!$A$7:$O$112,COLUMN(I98)-2,FALSE),"")</f>
        <v/>
      </c>
      <c r="J98" s="60" t="str">
        <f>IFERROR(VLOOKUP($D98,qboIS!$A$7:$O$112,COLUMN(J98)-2,FALSE),"")</f>
        <v/>
      </c>
      <c r="K98" s="60" t="str">
        <f>IFERROR(VLOOKUP($D98,qboIS!$A$7:$O$112,COLUMN(K98)-2,FALSE),"")</f>
        <v/>
      </c>
      <c r="L98" s="60" t="str">
        <f>IFERROR(VLOOKUP($D98,qboIS!$A$7:$O$112,COLUMN(L98)-2,FALSE),"")</f>
        <v/>
      </c>
      <c r="M98" s="60" t="str">
        <f>IFERROR(VLOOKUP($D98,qboIS!$A$7:$O$112,COLUMN(M98)-2,FALSE),"")</f>
        <v/>
      </c>
      <c r="N98" s="60" t="str">
        <f>IFERROR(VLOOKUP($D98,qboIS!$A$7:$O$112,COLUMN(N98)-2,FALSE),"")</f>
        <v/>
      </c>
      <c r="O98" s="60" t="str">
        <f>IFERROR(VLOOKUP($D98,qboIS!$A$7:$O$112,COLUMN(O98)-2,FALSE),"")</f>
        <v/>
      </c>
      <c r="P98" s="60" t="str">
        <f>IFERROR(VLOOKUP($D98,qboIS!$A$7:$O$112,COLUMN(P98)-2,FALSE),"")</f>
        <v/>
      </c>
      <c r="Q98" s="60" t="str">
        <f>IFERROR(VLOOKUP($D98,qboIS!$A$7:$O$112,COLUMN(Q98)-2,FALSE),"")</f>
        <v/>
      </c>
      <c r="R98" s="60"/>
      <c r="S98" s="60">
        <f>IF(S$1&lt;=DataSettings!$B$3,SUM($E98:E98),"")</f>
        <v>0</v>
      </c>
      <c r="T98" s="60">
        <f>IF(T$1&lt;=DataSettings!$B$3,SUM($E98:F98),"")</f>
        <v>0</v>
      </c>
      <c r="U98" s="60">
        <f>IF(U$1&lt;=DataSettings!$B$3,SUM($E98:G98),"")</f>
        <v>0</v>
      </c>
      <c r="V98" s="60">
        <f>IF(V$1&lt;=DataSettings!$B$3,SUM($E98:H98),"")</f>
        <v>0</v>
      </c>
      <c r="W98" s="60">
        <f>IF(W$1&lt;=DataSettings!$B$3,SUM($E98:I98),"")</f>
        <v>0</v>
      </c>
      <c r="X98" s="60">
        <f>IF(X$1&lt;=DataSettings!$B$3,SUM($E98:J98),"")</f>
        <v>0</v>
      </c>
      <c r="Y98" s="60">
        <f>IF(Y$1&lt;=DataSettings!$B$3,SUM($E98:K98),"")</f>
        <v>0</v>
      </c>
      <c r="Z98" s="60">
        <f>IF(Z$1&lt;=DataSettings!$B$3,SUM($E98:L98),"")</f>
        <v>0</v>
      </c>
      <c r="AA98" s="60">
        <f>IF(AA$1&lt;=DataSettings!$B$3,SUM($E98:M98),"")</f>
        <v>0</v>
      </c>
      <c r="AB98" s="60" t="str">
        <f>IF(AB$1&lt;=DataSettings!$B$3,SUM($E98:N98),"")</f>
        <v/>
      </c>
      <c r="AC98" s="60" t="str">
        <f>IF(AC$1&lt;=DataSettings!$B$3,SUM($E98:O98),"")</f>
        <v/>
      </c>
      <c r="AD98" s="60" t="str">
        <f>IF(AD$1&lt;=DataSettings!$B$3,SUM($E98:P98),"")</f>
        <v/>
      </c>
      <c r="AE98" s="60" t="str">
        <f>IF(AE$1&lt;=DataSettings!$B$3,SUM($E98:Q98),"")</f>
        <v/>
      </c>
    </row>
    <row r="99">
      <c r="A99" s="41" t="s">
        <v>18</v>
      </c>
      <c r="B99" s="41" t="s">
        <v>36</v>
      </c>
      <c r="C99" s="41" t="s">
        <v>15</v>
      </c>
      <c r="D99" s="59" t="s">
        <v>56</v>
      </c>
      <c r="E99" s="60" t="str">
        <f>IFERROR(VLOOKUP($D99,qboIS!$A$7:$O$112,COLUMN(E99)-2,FALSE),"")</f>
        <v/>
      </c>
      <c r="F99" s="60" t="str">
        <f>IFERROR(VLOOKUP($D99,qboIS!$A$7:$O$112,COLUMN(F99)-2,FALSE),"")</f>
        <v/>
      </c>
      <c r="G99" s="60" t="str">
        <f>IFERROR(VLOOKUP($D99,qboIS!$A$7:$O$112,COLUMN(G99)-2,FALSE),"")</f>
        <v/>
      </c>
      <c r="H99" s="60" t="str">
        <f>IFERROR(VLOOKUP($D99,qboIS!$A$7:$O$112,COLUMN(H99)-2,FALSE),"")</f>
        <v/>
      </c>
      <c r="I99" s="60" t="str">
        <f>IFERROR(VLOOKUP($D99,qboIS!$A$7:$O$112,COLUMN(I99)-2,FALSE),"")</f>
        <v/>
      </c>
      <c r="J99" s="60" t="str">
        <f>IFERROR(VLOOKUP($D99,qboIS!$A$7:$O$112,COLUMN(J99)-2,FALSE),"")</f>
        <v/>
      </c>
      <c r="K99" s="60" t="str">
        <f>IFERROR(VLOOKUP($D99,qboIS!$A$7:$O$112,COLUMN(K99)-2,FALSE),"")</f>
        <v/>
      </c>
      <c r="L99" s="60" t="str">
        <f>IFERROR(VLOOKUP($D99,qboIS!$A$7:$O$112,COLUMN(L99)-2,FALSE),"")</f>
        <v/>
      </c>
      <c r="M99" s="60">
        <f>IFERROR(VLOOKUP($D99,qboIS!$A$7:$O$112,COLUMN(M99)-2,FALSE),"")</f>
        <v>74515.26</v>
      </c>
      <c r="N99" s="60">
        <f>IFERROR(VLOOKUP($D99,qboIS!$A$7:$O$112,COLUMN(N99)-2,FALSE),"")</f>
        <v>74515.26</v>
      </c>
      <c r="O99" s="60" t="str">
        <f>IFERROR(VLOOKUP($D99,qboIS!$A$7:$O$112,COLUMN(O99)-2,FALSE),"")</f>
        <v/>
      </c>
      <c r="P99" s="60" t="str">
        <f>IFERROR(VLOOKUP($D99,qboIS!$A$7:$O$112,COLUMN(P99)-2,FALSE),"")</f>
        <v/>
      </c>
      <c r="Q99" s="60" t="str">
        <f>IFERROR(VLOOKUP($D99,qboIS!$A$7:$O$112,COLUMN(Q99)-2,FALSE),"")</f>
        <v/>
      </c>
      <c r="R99" s="60"/>
      <c r="S99" s="60">
        <f>IF(S$1&lt;=DataSettings!$B$3,SUM($E99:E99),"")</f>
        <v>0</v>
      </c>
      <c r="T99" s="60">
        <f>IF(T$1&lt;=DataSettings!$B$3,SUM($E99:F99),"")</f>
        <v>0</v>
      </c>
      <c r="U99" s="60">
        <f>IF(U$1&lt;=DataSettings!$B$3,SUM($E99:G99),"")</f>
        <v>0</v>
      </c>
      <c r="V99" s="60">
        <f>IF(V$1&lt;=DataSettings!$B$3,SUM($E99:H99),"")</f>
        <v>0</v>
      </c>
      <c r="W99" s="60">
        <f>IF(W$1&lt;=DataSettings!$B$3,SUM($E99:I99),"")</f>
        <v>0</v>
      </c>
      <c r="X99" s="60">
        <f>IF(X$1&lt;=DataSettings!$B$3,SUM($E99:J99),"")</f>
        <v>0</v>
      </c>
      <c r="Y99" s="60">
        <f>IF(Y$1&lt;=DataSettings!$B$3,SUM($E99:K99),"")</f>
        <v>0</v>
      </c>
      <c r="Z99" s="60">
        <f>IF(Z$1&lt;=DataSettings!$B$3,SUM($E99:L99),"")</f>
        <v>0</v>
      </c>
      <c r="AA99" s="60">
        <f>IF(AA$1&lt;=DataSettings!$B$3,SUM($E99:M99),"")</f>
        <v>74515.26</v>
      </c>
      <c r="AB99" s="60" t="str">
        <f>IF(AB$1&lt;=DataSettings!$B$3,SUM($E99:N99),"")</f>
        <v/>
      </c>
      <c r="AC99" s="60" t="str">
        <f>IF(AC$1&lt;=DataSettings!$B$3,SUM($E99:O99),"")</f>
        <v/>
      </c>
      <c r="AD99" s="60" t="str">
        <f>IF(AD$1&lt;=DataSettings!$B$3,SUM($E99:P99),"")</f>
        <v/>
      </c>
      <c r="AE99" s="60" t="str">
        <f>IF(AE$1&lt;=DataSettings!$B$3,SUM($E99:Q99),"")</f>
        <v/>
      </c>
    </row>
    <row r="100">
      <c r="A100" s="41" t="s">
        <v>18</v>
      </c>
      <c r="B100" s="41" t="s">
        <v>36</v>
      </c>
      <c r="C100" s="41" t="s">
        <v>15</v>
      </c>
      <c r="D100" s="59" t="s">
        <v>57</v>
      </c>
      <c r="E100" s="60">
        <f>IFERROR(VLOOKUP($D100,qboIS!$A$7:$O$112,COLUMN(E100)-2,FALSE),"")</f>
        <v>4180.68</v>
      </c>
      <c r="F100" s="60" t="str">
        <f>IFERROR(VLOOKUP($D100,qboIS!$A$7:$O$112,COLUMN(F100)-2,FALSE),"")</f>
        <v/>
      </c>
      <c r="G100" s="60" t="str">
        <f>IFERROR(VLOOKUP($D100,qboIS!$A$7:$O$112,COLUMN(G100)-2,FALSE),"")</f>
        <v/>
      </c>
      <c r="H100" s="60">
        <f>IFERROR(VLOOKUP($D100,qboIS!$A$7:$O$112,COLUMN(H100)-2,FALSE),"")</f>
        <v>6802.44</v>
      </c>
      <c r="I100" s="60">
        <f>IFERROR(VLOOKUP($D100,qboIS!$A$7:$O$112,COLUMN(I100)-2,FALSE),"")</f>
        <v>5287.01</v>
      </c>
      <c r="J100" s="60" t="str">
        <f>IFERROR(VLOOKUP($D100,qboIS!$A$7:$O$112,COLUMN(J100)-2,FALSE),"")</f>
        <v/>
      </c>
      <c r="K100" s="60">
        <f>IFERROR(VLOOKUP($D100,qboIS!$A$7:$O$112,COLUMN(K100)-2,FALSE),"")</f>
        <v>18684.09</v>
      </c>
      <c r="L100" s="60">
        <f>IFERROR(VLOOKUP($D100,qboIS!$A$7:$O$112,COLUMN(L100)-2,FALSE),"")</f>
        <v>0</v>
      </c>
      <c r="M100" s="60">
        <f>IFERROR(VLOOKUP($D100,qboIS!$A$7:$O$112,COLUMN(M100)-2,FALSE),"")</f>
        <v>7676.92</v>
      </c>
      <c r="N100" s="60">
        <f>IFERROR(VLOOKUP($D100,qboIS!$A$7:$O$112,COLUMN(N100)-2,FALSE),"")</f>
        <v>42631.14</v>
      </c>
      <c r="O100" s="60" t="str">
        <f>IFERROR(VLOOKUP($D100,qboIS!$A$7:$O$112,COLUMN(O100)-2,FALSE),"")</f>
        <v/>
      </c>
      <c r="P100" s="60" t="str">
        <f>IFERROR(VLOOKUP($D100,qboIS!$A$7:$O$112,COLUMN(P100)-2,FALSE),"")</f>
        <v/>
      </c>
      <c r="Q100" s="60" t="str">
        <f>IFERROR(VLOOKUP($D100,qboIS!$A$7:$O$112,COLUMN(Q100)-2,FALSE),"")</f>
        <v/>
      </c>
      <c r="R100" s="60"/>
      <c r="S100" s="60">
        <f>IF(S$1&lt;=DataSettings!$B$3,SUM($E100:E100),"")</f>
        <v>4180.68</v>
      </c>
      <c r="T100" s="60">
        <f>IF(T$1&lt;=DataSettings!$B$3,SUM($E100:F100),"")</f>
        <v>4180.68</v>
      </c>
      <c r="U100" s="60">
        <f>IF(U$1&lt;=DataSettings!$B$3,SUM($E100:G100),"")</f>
        <v>4180.68</v>
      </c>
      <c r="V100" s="60">
        <f>IF(V$1&lt;=DataSettings!$B$3,SUM($E100:H100),"")</f>
        <v>10983.12</v>
      </c>
      <c r="W100" s="60">
        <f>IF(W$1&lt;=DataSettings!$B$3,SUM($E100:I100),"")</f>
        <v>16270.13</v>
      </c>
      <c r="X100" s="60">
        <f>IF(X$1&lt;=DataSettings!$B$3,SUM($E100:J100),"")</f>
        <v>16270.13</v>
      </c>
      <c r="Y100" s="60">
        <f>IF(Y$1&lt;=DataSettings!$B$3,SUM($E100:K100),"")</f>
        <v>34954.22</v>
      </c>
      <c r="Z100" s="60">
        <f>IF(Z$1&lt;=DataSettings!$B$3,SUM($E100:L100),"")</f>
        <v>34954.22</v>
      </c>
      <c r="AA100" s="60">
        <f>IF(AA$1&lt;=DataSettings!$B$3,SUM($E100:M100),"")</f>
        <v>42631.14</v>
      </c>
      <c r="AB100" s="60" t="str">
        <f>IF(AB$1&lt;=DataSettings!$B$3,SUM($E100:N100),"")</f>
        <v/>
      </c>
      <c r="AC100" s="60" t="str">
        <f>IF(AC$1&lt;=DataSettings!$B$3,SUM($E100:O100),"")</f>
        <v/>
      </c>
      <c r="AD100" s="60" t="str">
        <f>IF(AD$1&lt;=DataSettings!$B$3,SUM($E100:P100),"")</f>
        <v/>
      </c>
      <c r="AE100" s="60" t="str">
        <f>IF(AE$1&lt;=DataSettings!$B$3,SUM($E100:Q100),"")</f>
        <v/>
      </c>
    </row>
    <row r="101">
      <c r="A101" s="41" t="s">
        <v>18</v>
      </c>
      <c r="B101" s="41" t="s">
        <v>36</v>
      </c>
      <c r="C101" s="41" t="s">
        <v>15</v>
      </c>
      <c r="D101" s="59" t="s">
        <v>58</v>
      </c>
      <c r="E101" s="60">
        <f>IFERROR(VLOOKUP($D101,qboIS!$A$7:$O$112,COLUMN(E101)-2,FALSE),"")</f>
        <v>275.75</v>
      </c>
      <c r="F101" s="60" t="str">
        <f>IFERROR(VLOOKUP($D101,qboIS!$A$7:$O$112,COLUMN(F101)-2,FALSE),"")</f>
        <v/>
      </c>
      <c r="G101" s="60" t="str">
        <f>IFERROR(VLOOKUP($D101,qboIS!$A$7:$O$112,COLUMN(G101)-2,FALSE),"")</f>
        <v/>
      </c>
      <c r="H101" s="60">
        <f>IFERROR(VLOOKUP($D101,qboIS!$A$7:$O$112,COLUMN(H101)-2,FALSE),"")</f>
        <v>673.89</v>
      </c>
      <c r="I101" s="60">
        <f>IFERROR(VLOOKUP($D101,qboIS!$A$7:$O$112,COLUMN(I101)-2,FALSE),"")</f>
        <v>729.71</v>
      </c>
      <c r="J101" s="60" t="str">
        <f>IFERROR(VLOOKUP($D101,qboIS!$A$7:$O$112,COLUMN(J101)-2,FALSE),"")</f>
        <v/>
      </c>
      <c r="K101" s="60">
        <f>IFERROR(VLOOKUP($D101,qboIS!$A$7:$O$112,COLUMN(K101)-2,FALSE),"")</f>
        <v>3725.96</v>
      </c>
      <c r="L101" s="60">
        <f>IFERROR(VLOOKUP($D101,qboIS!$A$7:$O$112,COLUMN(L101)-2,FALSE),"")</f>
        <v>423.62</v>
      </c>
      <c r="M101" s="60">
        <f>IFERROR(VLOOKUP($D101,qboIS!$A$7:$O$112,COLUMN(M101)-2,FALSE),"")</f>
        <v>651.82</v>
      </c>
      <c r="N101" s="60">
        <f>IFERROR(VLOOKUP($D101,qboIS!$A$7:$O$112,COLUMN(N101)-2,FALSE),"")</f>
        <v>6480.75</v>
      </c>
      <c r="O101" s="60" t="str">
        <f>IFERROR(VLOOKUP($D101,qboIS!$A$7:$O$112,COLUMN(O101)-2,FALSE),"")</f>
        <v/>
      </c>
      <c r="P101" s="60" t="str">
        <f>IFERROR(VLOOKUP($D101,qboIS!$A$7:$O$112,COLUMN(P101)-2,FALSE),"")</f>
        <v/>
      </c>
      <c r="Q101" s="60" t="str">
        <f>IFERROR(VLOOKUP($D101,qboIS!$A$7:$O$112,COLUMN(Q101)-2,FALSE),"")</f>
        <v/>
      </c>
      <c r="R101" s="60"/>
      <c r="S101" s="60">
        <f>IF(S$1&lt;=DataSettings!$B$3,SUM($E101:E101),"")</f>
        <v>275.75</v>
      </c>
      <c r="T101" s="60">
        <f>IF(T$1&lt;=DataSettings!$B$3,SUM($E101:F101),"")</f>
        <v>275.75</v>
      </c>
      <c r="U101" s="60">
        <f>IF(U$1&lt;=DataSettings!$B$3,SUM($E101:G101),"")</f>
        <v>275.75</v>
      </c>
      <c r="V101" s="60">
        <f>IF(V$1&lt;=DataSettings!$B$3,SUM($E101:H101),"")</f>
        <v>949.64</v>
      </c>
      <c r="W101" s="60">
        <f>IF(W$1&lt;=DataSettings!$B$3,SUM($E101:I101),"")</f>
        <v>1679.35</v>
      </c>
      <c r="X101" s="60">
        <f>IF(X$1&lt;=DataSettings!$B$3,SUM($E101:J101),"")</f>
        <v>1679.35</v>
      </c>
      <c r="Y101" s="60">
        <f>IF(Y$1&lt;=DataSettings!$B$3,SUM($E101:K101),"")</f>
        <v>5405.31</v>
      </c>
      <c r="Z101" s="60">
        <f>IF(Z$1&lt;=DataSettings!$B$3,SUM($E101:L101),"")</f>
        <v>5828.93</v>
      </c>
      <c r="AA101" s="60">
        <f>IF(AA$1&lt;=DataSettings!$B$3,SUM($E101:M101),"")</f>
        <v>6480.75</v>
      </c>
      <c r="AB101" s="60" t="str">
        <f>IF(AB$1&lt;=DataSettings!$B$3,SUM($E101:N101),"")</f>
        <v/>
      </c>
      <c r="AC101" s="60" t="str">
        <f>IF(AC$1&lt;=DataSettings!$B$3,SUM($E101:O101),"")</f>
        <v/>
      </c>
      <c r="AD101" s="60" t="str">
        <f>IF(AD$1&lt;=DataSettings!$B$3,SUM($E101:P101),"")</f>
        <v/>
      </c>
      <c r="AE101" s="60" t="str">
        <f>IF(AE$1&lt;=DataSettings!$B$3,SUM($E101:Q101),"")</f>
        <v/>
      </c>
    </row>
    <row r="102">
      <c r="A102" s="41" t="s">
        <v>18</v>
      </c>
      <c r="B102" s="41" t="s">
        <v>36</v>
      </c>
      <c r="C102" s="41" t="s">
        <v>15</v>
      </c>
      <c r="D102" s="59" t="s">
        <v>59</v>
      </c>
      <c r="E102" s="60">
        <f>IFERROR(VLOOKUP($D102,qboIS!$A$7:$O$112,COLUMN(E102)-2,FALSE),"")</f>
        <v>73511.06</v>
      </c>
      <c r="F102" s="60" t="str">
        <f>IFERROR(VLOOKUP($D102,qboIS!$A$7:$O$112,COLUMN(F102)-2,FALSE),"")</f>
        <v/>
      </c>
      <c r="G102" s="60" t="str">
        <f>IFERROR(VLOOKUP($D102,qboIS!$A$7:$O$112,COLUMN(G102)-2,FALSE),"")</f>
        <v/>
      </c>
      <c r="H102" s="60" t="str">
        <f>IFERROR(VLOOKUP($D102,qboIS!$A$7:$O$112,COLUMN(H102)-2,FALSE),"")</f>
        <v/>
      </c>
      <c r="I102" s="60" t="str">
        <f>IFERROR(VLOOKUP($D102,qboIS!$A$7:$O$112,COLUMN(I102)-2,FALSE),"")</f>
        <v/>
      </c>
      <c r="J102" s="60" t="str">
        <f>IFERROR(VLOOKUP($D102,qboIS!$A$7:$O$112,COLUMN(J102)-2,FALSE),"")</f>
        <v/>
      </c>
      <c r="K102" s="60" t="str">
        <f>IFERROR(VLOOKUP($D102,qboIS!$A$7:$O$112,COLUMN(K102)-2,FALSE),"")</f>
        <v/>
      </c>
      <c r="L102" s="60" t="str">
        <f>IFERROR(VLOOKUP($D102,qboIS!$A$7:$O$112,COLUMN(L102)-2,FALSE),"")</f>
        <v/>
      </c>
      <c r="M102" s="60" t="str">
        <f>IFERROR(VLOOKUP($D102,qboIS!$A$7:$O$112,COLUMN(M102)-2,FALSE),"")</f>
        <v/>
      </c>
      <c r="N102" s="60">
        <f>IFERROR(VLOOKUP($D102,qboIS!$A$7:$O$112,COLUMN(N102)-2,FALSE),"")</f>
        <v>73511.06</v>
      </c>
      <c r="O102" s="60" t="str">
        <f>IFERROR(VLOOKUP($D102,qboIS!$A$7:$O$112,COLUMN(O102)-2,FALSE),"")</f>
        <v/>
      </c>
      <c r="P102" s="60" t="str">
        <f>IFERROR(VLOOKUP($D102,qboIS!$A$7:$O$112,COLUMN(P102)-2,FALSE),"")</f>
        <v/>
      </c>
      <c r="Q102" s="60" t="str">
        <f>IFERROR(VLOOKUP($D102,qboIS!$A$7:$O$112,COLUMN(Q102)-2,FALSE),"")</f>
        <v/>
      </c>
      <c r="R102" s="60"/>
      <c r="S102" s="60">
        <f>IF(S$1&lt;=DataSettings!$B$3,SUM($E102:E102),"")</f>
        <v>73511.06</v>
      </c>
      <c r="T102" s="60">
        <f>IF(T$1&lt;=DataSettings!$B$3,SUM($E102:F102),"")</f>
        <v>73511.06</v>
      </c>
      <c r="U102" s="60">
        <f>IF(U$1&lt;=DataSettings!$B$3,SUM($E102:G102),"")</f>
        <v>73511.06</v>
      </c>
      <c r="V102" s="60">
        <f>IF(V$1&lt;=DataSettings!$B$3,SUM($E102:H102),"")</f>
        <v>73511.06</v>
      </c>
      <c r="W102" s="60">
        <f>IF(W$1&lt;=DataSettings!$B$3,SUM($E102:I102),"")</f>
        <v>73511.06</v>
      </c>
      <c r="X102" s="60">
        <f>IF(X$1&lt;=DataSettings!$B$3,SUM($E102:J102),"")</f>
        <v>73511.06</v>
      </c>
      <c r="Y102" s="60">
        <f>IF(Y$1&lt;=DataSettings!$B$3,SUM($E102:K102),"")</f>
        <v>73511.06</v>
      </c>
      <c r="Z102" s="60">
        <f>IF(Z$1&lt;=DataSettings!$B$3,SUM($E102:L102),"")</f>
        <v>73511.06</v>
      </c>
      <c r="AA102" s="60">
        <f>IF(AA$1&lt;=DataSettings!$B$3,SUM($E102:M102),"")</f>
        <v>73511.06</v>
      </c>
      <c r="AB102" s="60" t="str">
        <f>IF(AB$1&lt;=DataSettings!$B$3,SUM($E102:N102),"")</f>
        <v/>
      </c>
      <c r="AC102" s="60" t="str">
        <f>IF(AC$1&lt;=DataSettings!$B$3,SUM($E102:O102),"")</f>
        <v/>
      </c>
      <c r="AD102" s="60" t="str">
        <f>IF(AD$1&lt;=DataSettings!$B$3,SUM($E102:P102),"")</f>
        <v/>
      </c>
      <c r="AE102" s="60" t="str">
        <f>IF(AE$1&lt;=DataSettings!$B$3,SUM($E102:Q102),"")</f>
        <v/>
      </c>
    </row>
    <row r="103" hidden="1">
      <c r="A103" s="41" t="s">
        <v>18</v>
      </c>
      <c r="B103" s="41" t="s">
        <v>35</v>
      </c>
      <c r="C103" s="41" t="s">
        <v>23</v>
      </c>
      <c r="D103" s="59" t="s">
        <v>63</v>
      </c>
      <c r="E103" s="60">
        <f>IFERROR(VLOOKUP($D103,qboIS!$A$7:$O$112,COLUMN(E103)-2,FALSE),"")</f>
        <v>72029.51</v>
      </c>
      <c r="F103" s="60">
        <f>IFERROR(VLOOKUP($D103,qboIS!$A$7:$O$112,COLUMN(F103)-2,FALSE),"")</f>
        <v>70114.35</v>
      </c>
      <c r="G103" s="60">
        <f>IFERROR(VLOOKUP($D103,qboIS!$A$7:$O$112,COLUMN(G103)-2,FALSE),"")</f>
        <v>68891.04</v>
      </c>
      <c r="H103" s="60">
        <f>IFERROR(VLOOKUP($D103,qboIS!$A$7:$O$112,COLUMN(H103)-2,FALSE),"")</f>
        <v>84501.85</v>
      </c>
      <c r="I103" s="60">
        <f>IFERROR(VLOOKUP($D103,qboIS!$A$7:$O$112,COLUMN(I103)-2,FALSE),"")</f>
        <v>70811.68</v>
      </c>
      <c r="J103" s="60">
        <f>IFERROR(VLOOKUP($D103,qboIS!$A$7:$O$112,COLUMN(J103)-2,FALSE),"")</f>
        <v>96112.1</v>
      </c>
      <c r="K103" s="60">
        <f>IFERROR(VLOOKUP($D103,qboIS!$A$7:$O$112,COLUMN(K103)-2,FALSE),"")</f>
        <v>70715.41</v>
      </c>
      <c r="L103" s="60">
        <f>IFERROR(VLOOKUP($D103,qboIS!$A$7:$O$112,COLUMN(L103)-2,FALSE),"")</f>
        <v>66730.43</v>
      </c>
      <c r="M103" s="60">
        <f>IFERROR(VLOOKUP($D103,qboIS!$A$7:$O$112,COLUMN(M103)-2,FALSE),"")</f>
        <v>70130.27</v>
      </c>
      <c r="N103" s="60">
        <f>IFERROR(VLOOKUP($D103,qboIS!$A$7:$O$112,COLUMN(N103)-2,FALSE),"")</f>
        <v>670036.64</v>
      </c>
      <c r="O103" s="60" t="str">
        <f>IFERROR(VLOOKUP($D103,qboIS!$A$7:$O$112,COLUMN(O103)-2,FALSE),"")</f>
        <v/>
      </c>
      <c r="P103" s="60" t="str">
        <f>IFERROR(VLOOKUP($D103,qboIS!$A$7:$O$112,COLUMN(P103)-2,FALSE),"")</f>
        <v/>
      </c>
      <c r="Q103" s="60" t="str">
        <f>IFERROR(VLOOKUP($D103,qboIS!$A$7:$O$112,COLUMN(Q103)-2,FALSE),"")</f>
        <v/>
      </c>
      <c r="R103" s="60"/>
      <c r="S103" s="60">
        <f>IF(S$1&lt;=DataSettings!$B$3,SUM($E103:E103),"")</f>
        <v>72029.51</v>
      </c>
      <c r="T103" s="60">
        <f>IF(T$1&lt;=DataSettings!$B$3,SUM($E103:F103),"")</f>
        <v>142143.86</v>
      </c>
      <c r="U103" s="60">
        <f>IF(U$1&lt;=DataSettings!$B$3,SUM($E103:G103),"")</f>
        <v>211034.9</v>
      </c>
      <c r="V103" s="60">
        <f>IF(V$1&lt;=DataSettings!$B$3,SUM($E103:H103),"")</f>
        <v>295536.75</v>
      </c>
      <c r="W103" s="60">
        <f>IF(W$1&lt;=DataSettings!$B$3,SUM($E103:I103),"")</f>
        <v>366348.43</v>
      </c>
      <c r="X103" s="60">
        <f>IF(X$1&lt;=DataSettings!$B$3,SUM($E103:J103),"")</f>
        <v>462460.53</v>
      </c>
      <c r="Y103" s="60">
        <f>IF(Y$1&lt;=DataSettings!$B$3,SUM($E103:K103),"")</f>
        <v>533175.94</v>
      </c>
      <c r="Z103" s="60">
        <f>IF(Z$1&lt;=DataSettings!$B$3,SUM($E103:L103),"")</f>
        <v>599906.37</v>
      </c>
      <c r="AA103" s="60">
        <f>IF(AA$1&lt;=DataSettings!$B$3,SUM($E103:M103),"")</f>
        <v>670036.64</v>
      </c>
      <c r="AB103" s="60" t="str">
        <f>IF(AB$1&lt;=DataSettings!$B$3,SUM($E103:N103),"")</f>
        <v/>
      </c>
      <c r="AC103" s="60" t="str">
        <f>IF(AC$1&lt;=DataSettings!$B$3,SUM($E103:O103),"")</f>
        <v/>
      </c>
      <c r="AD103" s="60" t="str">
        <f>IF(AD$1&lt;=DataSettings!$B$3,SUM($E103:P103),"")</f>
        <v/>
      </c>
      <c r="AE103" s="60" t="str">
        <f>IF(AE$1&lt;=DataSettings!$B$3,SUM($E103:Q103),"")</f>
        <v/>
      </c>
    </row>
    <row r="104" hidden="1">
      <c r="A104" s="41" t="s">
        <v>18</v>
      </c>
      <c r="B104" s="41" t="s">
        <v>35</v>
      </c>
      <c r="C104" s="41" t="s">
        <v>24</v>
      </c>
      <c r="D104" s="59" t="s">
        <v>64</v>
      </c>
      <c r="E104" s="60">
        <f>IFERROR(VLOOKUP($D104,qboIS!$A$7:$O$112,COLUMN(E104)-2,FALSE),"")</f>
        <v>10444.28</v>
      </c>
      <c r="F104" s="60">
        <f>IFERROR(VLOOKUP($D104,qboIS!$A$7:$O$112,COLUMN(F104)-2,FALSE),"")</f>
        <v>10166.6</v>
      </c>
      <c r="G104" s="60">
        <f>IFERROR(VLOOKUP($D104,qboIS!$A$7:$O$112,COLUMN(G104)-2,FALSE),"")</f>
        <v>9989.22</v>
      </c>
      <c r="H104" s="60">
        <f>IFERROR(VLOOKUP($D104,qboIS!$A$7:$O$112,COLUMN(H104)-2,FALSE),"")</f>
        <v>12252.76</v>
      </c>
      <c r="I104" s="60">
        <f>IFERROR(VLOOKUP($D104,qboIS!$A$7:$O$112,COLUMN(I104)-2,FALSE),"")</f>
        <v>10267.71</v>
      </c>
      <c r="J104" s="60">
        <f>IFERROR(VLOOKUP($D104,qboIS!$A$7:$O$112,COLUMN(J104)-2,FALSE),"")</f>
        <v>14240.74</v>
      </c>
      <c r="K104" s="60">
        <f>IFERROR(VLOOKUP($D104,qboIS!$A$7:$O$112,COLUMN(K104)-2,FALSE),"")</f>
        <v>9900.13</v>
      </c>
      <c r="L104" s="60">
        <f>IFERROR(VLOOKUP($D104,qboIS!$A$7:$O$112,COLUMN(L104)-2,FALSE),"")</f>
        <v>9342.28</v>
      </c>
      <c r="M104" s="60">
        <f>IFERROR(VLOOKUP($D104,qboIS!$A$7:$O$112,COLUMN(M104)-2,FALSE),"")</f>
        <v>11049.22</v>
      </c>
      <c r="N104" s="60">
        <f>IFERROR(VLOOKUP($D104,qboIS!$A$7:$O$112,COLUMN(N104)-2,FALSE),"")</f>
        <v>97652.94</v>
      </c>
      <c r="O104" s="60" t="str">
        <f>IFERROR(VLOOKUP($D104,qboIS!$A$7:$O$112,COLUMN(O104)-2,FALSE),"")</f>
        <v/>
      </c>
      <c r="P104" s="60" t="str">
        <f>IFERROR(VLOOKUP($D104,qboIS!$A$7:$O$112,COLUMN(P104)-2,FALSE),"")</f>
        <v/>
      </c>
      <c r="Q104" s="60" t="str">
        <f>IFERROR(VLOOKUP($D104,qboIS!$A$7:$O$112,COLUMN(Q104)-2,FALSE),"")</f>
        <v/>
      </c>
      <c r="R104" s="60"/>
      <c r="S104" s="60">
        <f>IF(S$1&lt;=DataSettings!$B$3,SUM($E104:E104),"")</f>
        <v>10444.28</v>
      </c>
      <c r="T104" s="60">
        <f>IF(T$1&lt;=DataSettings!$B$3,SUM($E104:F104),"")</f>
        <v>20610.88</v>
      </c>
      <c r="U104" s="60">
        <f>IF(U$1&lt;=DataSettings!$B$3,SUM($E104:G104),"")</f>
        <v>30600.1</v>
      </c>
      <c r="V104" s="60">
        <f>IF(V$1&lt;=DataSettings!$B$3,SUM($E104:H104),"")</f>
        <v>42852.86</v>
      </c>
      <c r="W104" s="60">
        <f>IF(W$1&lt;=DataSettings!$B$3,SUM($E104:I104),"")</f>
        <v>53120.57</v>
      </c>
      <c r="X104" s="60">
        <f>IF(X$1&lt;=DataSettings!$B$3,SUM($E104:J104),"")</f>
        <v>67361.31</v>
      </c>
      <c r="Y104" s="60">
        <f>IF(Y$1&lt;=DataSettings!$B$3,SUM($E104:K104),"")</f>
        <v>77261.44</v>
      </c>
      <c r="Z104" s="60">
        <f>IF(Z$1&lt;=DataSettings!$B$3,SUM($E104:L104),"")</f>
        <v>86603.72</v>
      </c>
      <c r="AA104" s="60">
        <f>IF(AA$1&lt;=DataSettings!$B$3,SUM($E104:M104),"")</f>
        <v>97652.94</v>
      </c>
      <c r="AB104" s="60" t="str">
        <f>IF(AB$1&lt;=DataSettings!$B$3,SUM($E104:N104),"")</f>
        <v/>
      </c>
      <c r="AC104" s="60" t="str">
        <f>IF(AC$1&lt;=DataSettings!$B$3,SUM($E104:O104),"")</f>
        <v/>
      </c>
      <c r="AD104" s="60" t="str">
        <f>IF(AD$1&lt;=DataSettings!$B$3,SUM($E104:P104),"")</f>
        <v/>
      </c>
      <c r="AE104" s="60" t="str">
        <f>IF(AE$1&lt;=DataSettings!$B$3,SUM($E104:Q104),"")</f>
        <v/>
      </c>
    </row>
    <row r="105" hidden="1">
      <c r="A105" s="41" t="s">
        <v>18</v>
      </c>
      <c r="B105" s="41" t="s">
        <v>35</v>
      </c>
      <c r="C105" s="41" t="s">
        <v>24</v>
      </c>
      <c r="D105" s="59" t="s">
        <v>65</v>
      </c>
      <c r="E105" s="60">
        <f>IFERROR(VLOOKUP($D105,qboIS!$A$7:$O$112,COLUMN(E105)-2,FALSE),"")</f>
        <v>4436.47</v>
      </c>
      <c r="F105" s="60">
        <f>IFERROR(VLOOKUP($D105,qboIS!$A$7:$O$112,COLUMN(F105)-2,FALSE),"")</f>
        <v>4241.12</v>
      </c>
      <c r="G105" s="60">
        <f>IFERROR(VLOOKUP($D105,qboIS!$A$7:$O$112,COLUMN(G105)-2,FALSE),"")</f>
        <v>4175.76</v>
      </c>
      <c r="H105" s="60">
        <f>IFERROR(VLOOKUP($D105,qboIS!$A$7:$O$112,COLUMN(H105)-2,FALSE),"")</f>
        <v>5146.98</v>
      </c>
      <c r="I105" s="60">
        <f>IFERROR(VLOOKUP($D105,qboIS!$A$7:$O$112,COLUMN(I105)-2,FALSE),"")</f>
        <v>4226.36</v>
      </c>
      <c r="J105" s="60">
        <f>IFERROR(VLOOKUP($D105,qboIS!$A$7:$O$112,COLUMN(J105)-2,FALSE),"")</f>
        <v>5989.42</v>
      </c>
      <c r="K105" s="60">
        <f>IFERROR(VLOOKUP($D105,qboIS!$A$7:$O$112,COLUMN(K105)-2,FALSE),"")</f>
        <v>4276.93</v>
      </c>
      <c r="L105" s="60">
        <f>IFERROR(VLOOKUP($D105,qboIS!$A$7:$O$112,COLUMN(L105)-2,FALSE),"")</f>
        <v>4038.89</v>
      </c>
      <c r="M105" s="60">
        <f>IFERROR(VLOOKUP($D105,qboIS!$A$7:$O$112,COLUMN(M105)-2,FALSE),"")</f>
        <v>4172.85</v>
      </c>
      <c r="N105" s="60">
        <f>IFERROR(VLOOKUP($D105,qboIS!$A$7:$O$112,COLUMN(N105)-2,FALSE),"")</f>
        <v>40704.78</v>
      </c>
      <c r="O105" s="60" t="str">
        <f>IFERROR(VLOOKUP($D105,qboIS!$A$7:$O$112,COLUMN(O105)-2,FALSE),"")</f>
        <v/>
      </c>
      <c r="P105" s="60" t="str">
        <f>IFERROR(VLOOKUP($D105,qboIS!$A$7:$O$112,COLUMN(P105)-2,FALSE),"")</f>
        <v/>
      </c>
      <c r="Q105" s="60" t="str">
        <f>IFERROR(VLOOKUP($D105,qboIS!$A$7:$O$112,COLUMN(Q105)-2,FALSE),"")</f>
        <v/>
      </c>
      <c r="R105" s="60"/>
      <c r="S105" s="60">
        <f>IF(S$1&lt;=DataSettings!$B$3,SUM($E105:E105),"")</f>
        <v>4436.47</v>
      </c>
      <c r="T105" s="60">
        <f>IF(T$1&lt;=DataSettings!$B$3,SUM($E105:F105),"")</f>
        <v>8677.59</v>
      </c>
      <c r="U105" s="60">
        <f>IF(U$1&lt;=DataSettings!$B$3,SUM($E105:G105),"")</f>
        <v>12853.35</v>
      </c>
      <c r="V105" s="60">
        <f>IF(V$1&lt;=DataSettings!$B$3,SUM($E105:H105),"")</f>
        <v>18000.33</v>
      </c>
      <c r="W105" s="60">
        <f>IF(W$1&lt;=DataSettings!$B$3,SUM($E105:I105),"")</f>
        <v>22226.69</v>
      </c>
      <c r="X105" s="60">
        <f>IF(X$1&lt;=DataSettings!$B$3,SUM($E105:J105),"")</f>
        <v>28216.11</v>
      </c>
      <c r="Y105" s="60">
        <f>IF(Y$1&lt;=DataSettings!$B$3,SUM($E105:K105),"")</f>
        <v>32493.04</v>
      </c>
      <c r="Z105" s="60">
        <f>IF(Z$1&lt;=DataSettings!$B$3,SUM($E105:L105),"")</f>
        <v>36531.93</v>
      </c>
      <c r="AA105" s="60">
        <f>IF(AA$1&lt;=DataSettings!$B$3,SUM($E105:M105),"")</f>
        <v>40704.78</v>
      </c>
      <c r="AB105" s="60" t="str">
        <f>IF(AB$1&lt;=DataSettings!$B$3,SUM($E105:N105),"")</f>
        <v/>
      </c>
      <c r="AC105" s="60" t="str">
        <f>IF(AC$1&lt;=DataSettings!$B$3,SUM($E105:O105),"")</f>
        <v/>
      </c>
      <c r="AD105" s="60" t="str">
        <f>IF(AD$1&lt;=DataSettings!$B$3,SUM($E105:P105),"")</f>
        <v/>
      </c>
      <c r="AE105" s="60" t="str">
        <f>IF(AE$1&lt;=DataSettings!$B$3,SUM($E105:Q105),"")</f>
        <v/>
      </c>
    </row>
    <row r="106" hidden="1">
      <c r="A106" s="41" t="s">
        <v>18</v>
      </c>
      <c r="B106" s="41" t="s">
        <v>35</v>
      </c>
      <c r="C106" s="41" t="s">
        <v>24</v>
      </c>
      <c r="D106" s="59" t="s">
        <v>66</v>
      </c>
      <c r="E106" s="60">
        <f>IFERROR(VLOOKUP($D106,qboIS!$A$7:$O$112,COLUMN(E106)-2,FALSE),"")</f>
        <v>1037.56</v>
      </c>
      <c r="F106" s="60">
        <f>IFERROR(VLOOKUP($D106,qboIS!$A$7:$O$112,COLUMN(F106)-2,FALSE),"")</f>
        <v>991.87</v>
      </c>
      <c r="G106" s="60">
        <f>IFERROR(VLOOKUP($D106,qboIS!$A$7:$O$112,COLUMN(G106)-2,FALSE),"")</f>
        <v>976.59</v>
      </c>
      <c r="H106" s="60">
        <f>IFERROR(VLOOKUP($D106,qboIS!$A$7:$O$112,COLUMN(H106)-2,FALSE),"")</f>
        <v>1203.73</v>
      </c>
      <c r="I106" s="60">
        <f>IFERROR(VLOOKUP($D106,qboIS!$A$7:$O$112,COLUMN(I106)-2,FALSE),"")</f>
        <v>988.42</v>
      </c>
      <c r="J106" s="60">
        <f>IFERROR(VLOOKUP($D106,qboIS!$A$7:$O$112,COLUMN(J106)-2,FALSE),"")</f>
        <v>1400.73</v>
      </c>
      <c r="K106" s="60">
        <f>IFERROR(VLOOKUP($D106,qboIS!$A$7:$O$112,COLUMN(K106)-2,FALSE),"")</f>
        <v>1000.24</v>
      </c>
      <c r="L106" s="60">
        <f>IFERROR(VLOOKUP($D106,qboIS!$A$7:$O$112,COLUMN(L106)-2,FALSE),"")</f>
        <v>944.57</v>
      </c>
      <c r="M106" s="60">
        <f>IFERROR(VLOOKUP($D106,qboIS!$A$7:$O$112,COLUMN(M106)-2,FALSE),"")</f>
        <v>975.9</v>
      </c>
      <c r="N106" s="60">
        <f>IFERROR(VLOOKUP($D106,qboIS!$A$7:$O$112,COLUMN(N106)-2,FALSE),"")</f>
        <v>9519.61</v>
      </c>
      <c r="O106" s="60" t="str">
        <f>IFERROR(VLOOKUP($D106,qboIS!$A$7:$O$112,COLUMN(O106)-2,FALSE),"")</f>
        <v/>
      </c>
      <c r="P106" s="60" t="str">
        <f>IFERROR(VLOOKUP($D106,qboIS!$A$7:$O$112,COLUMN(P106)-2,FALSE),"")</f>
        <v/>
      </c>
      <c r="Q106" s="60" t="str">
        <f>IFERROR(VLOOKUP($D106,qboIS!$A$7:$O$112,COLUMN(Q106)-2,FALSE),"")</f>
        <v/>
      </c>
      <c r="R106" s="60"/>
      <c r="S106" s="60">
        <f>IF(S$1&lt;=DataSettings!$B$3,SUM($E106:E106),"")</f>
        <v>1037.56</v>
      </c>
      <c r="T106" s="60">
        <f>IF(T$1&lt;=DataSettings!$B$3,SUM($E106:F106),"")</f>
        <v>2029.43</v>
      </c>
      <c r="U106" s="60">
        <f>IF(U$1&lt;=DataSettings!$B$3,SUM($E106:G106),"")</f>
        <v>3006.02</v>
      </c>
      <c r="V106" s="60">
        <f>IF(V$1&lt;=DataSettings!$B$3,SUM($E106:H106),"")</f>
        <v>4209.75</v>
      </c>
      <c r="W106" s="60">
        <f>IF(W$1&lt;=DataSettings!$B$3,SUM($E106:I106),"")</f>
        <v>5198.17</v>
      </c>
      <c r="X106" s="60">
        <f>IF(X$1&lt;=DataSettings!$B$3,SUM($E106:J106),"")</f>
        <v>6598.9</v>
      </c>
      <c r="Y106" s="60">
        <f>IF(Y$1&lt;=DataSettings!$B$3,SUM($E106:K106),"")</f>
        <v>7599.14</v>
      </c>
      <c r="Z106" s="60">
        <f>IF(Z$1&lt;=DataSettings!$B$3,SUM($E106:L106),"")</f>
        <v>8543.71</v>
      </c>
      <c r="AA106" s="60">
        <f>IF(AA$1&lt;=DataSettings!$B$3,SUM($E106:M106),"")</f>
        <v>9519.61</v>
      </c>
      <c r="AB106" s="60" t="str">
        <f>IF(AB$1&lt;=DataSettings!$B$3,SUM($E106:N106),"")</f>
        <v/>
      </c>
      <c r="AC106" s="60" t="str">
        <f>IF(AC$1&lt;=DataSettings!$B$3,SUM($E106:O106),"")</f>
        <v/>
      </c>
      <c r="AD106" s="60" t="str">
        <f>IF(AD$1&lt;=DataSettings!$B$3,SUM($E106:P106),"")</f>
        <v/>
      </c>
      <c r="AE106" s="60" t="str">
        <f>IF(AE$1&lt;=DataSettings!$B$3,SUM($E106:Q106),"")</f>
        <v/>
      </c>
    </row>
    <row r="107" hidden="1">
      <c r="A107" s="41" t="s">
        <v>18</v>
      </c>
      <c r="B107" s="41" t="s">
        <v>35</v>
      </c>
      <c r="C107" s="41" t="s">
        <v>24</v>
      </c>
      <c r="D107" s="59" t="s">
        <v>67</v>
      </c>
      <c r="E107" s="60">
        <f>IFERROR(VLOOKUP($D107,qboIS!$A$7:$O$112,COLUMN(E107)-2,FALSE),"")</f>
        <v>1263.08</v>
      </c>
      <c r="F107" s="60">
        <f>IFERROR(VLOOKUP($D107,qboIS!$A$7:$O$112,COLUMN(F107)-2,FALSE),"")</f>
        <v>5523.47</v>
      </c>
      <c r="G107" s="60">
        <f>IFERROR(VLOOKUP($D107,qboIS!$A$7:$O$112,COLUMN(G107)-2,FALSE),"")</f>
        <v>5145.66</v>
      </c>
      <c r="H107" s="60">
        <f>IFERROR(VLOOKUP($D107,qboIS!$A$7:$O$112,COLUMN(H107)-2,FALSE),"")</f>
        <v>5493.11</v>
      </c>
      <c r="I107" s="60">
        <f>IFERROR(VLOOKUP($D107,qboIS!$A$7:$O$112,COLUMN(I107)-2,FALSE),"")</f>
        <v>10796.88</v>
      </c>
      <c r="J107" s="60">
        <f>IFERROR(VLOOKUP($D107,qboIS!$A$7:$O$112,COLUMN(J107)-2,FALSE),"")</f>
        <v>4751.37</v>
      </c>
      <c r="K107" s="60">
        <f>IFERROR(VLOOKUP($D107,qboIS!$A$7:$O$112,COLUMN(K107)-2,FALSE),"")</f>
        <v>-226.26</v>
      </c>
      <c r="L107" s="60">
        <f>IFERROR(VLOOKUP($D107,qboIS!$A$7:$O$112,COLUMN(L107)-2,FALSE),"")</f>
        <v>6019.7</v>
      </c>
      <c r="M107" s="60">
        <f>IFERROR(VLOOKUP($D107,qboIS!$A$7:$O$112,COLUMN(M107)-2,FALSE),"")</f>
        <v>7938.33</v>
      </c>
      <c r="N107" s="60">
        <f>IFERROR(VLOOKUP($D107,qboIS!$A$7:$O$112,COLUMN(N107)-2,FALSE),"")</f>
        <v>46705.34</v>
      </c>
      <c r="O107" s="60" t="str">
        <f>IFERROR(VLOOKUP($D107,qboIS!$A$7:$O$112,COLUMN(O107)-2,FALSE),"")</f>
        <v/>
      </c>
      <c r="P107" s="60" t="str">
        <f>IFERROR(VLOOKUP($D107,qboIS!$A$7:$O$112,COLUMN(P107)-2,FALSE),"")</f>
        <v/>
      </c>
      <c r="Q107" s="60" t="str">
        <f>IFERROR(VLOOKUP($D107,qboIS!$A$7:$O$112,COLUMN(Q107)-2,FALSE),"")</f>
        <v/>
      </c>
      <c r="R107" s="60"/>
      <c r="S107" s="60">
        <f>IF(S$1&lt;=DataSettings!$B$3,SUM($E107:E107),"")</f>
        <v>1263.08</v>
      </c>
      <c r="T107" s="60">
        <f>IF(T$1&lt;=DataSettings!$B$3,SUM($E107:F107),"")</f>
        <v>6786.55</v>
      </c>
      <c r="U107" s="60">
        <f>IF(U$1&lt;=DataSettings!$B$3,SUM($E107:G107),"")</f>
        <v>11932.21</v>
      </c>
      <c r="V107" s="60">
        <f>IF(V$1&lt;=DataSettings!$B$3,SUM($E107:H107),"")</f>
        <v>17425.32</v>
      </c>
      <c r="W107" s="60">
        <f>IF(W$1&lt;=DataSettings!$B$3,SUM($E107:I107),"")</f>
        <v>28222.2</v>
      </c>
      <c r="X107" s="60">
        <f>IF(X$1&lt;=DataSettings!$B$3,SUM($E107:J107),"")</f>
        <v>32973.57</v>
      </c>
      <c r="Y107" s="60">
        <f>IF(Y$1&lt;=DataSettings!$B$3,SUM($E107:K107),"")</f>
        <v>32747.31</v>
      </c>
      <c r="Z107" s="60">
        <f>IF(Z$1&lt;=DataSettings!$B$3,SUM($E107:L107),"")</f>
        <v>38767.01</v>
      </c>
      <c r="AA107" s="60">
        <f>IF(AA$1&lt;=DataSettings!$B$3,SUM($E107:M107),"")</f>
        <v>46705.34</v>
      </c>
      <c r="AB107" s="60" t="str">
        <f>IF(AB$1&lt;=DataSettings!$B$3,SUM($E107:N107),"")</f>
        <v/>
      </c>
      <c r="AC107" s="60" t="str">
        <f>IF(AC$1&lt;=DataSettings!$B$3,SUM($E107:O107),"")</f>
        <v/>
      </c>
      <c r="AD107" s="60" t="str">
        <f>IF(AD$1&lt;=DataSettings!$B$3,SUM($E107:P107),"")</f>
        <v/>
      </c>
      <c r="AE107" s="60" t="str">
        <f>IF(AE$1&lt;=DataSettings!$B$3,SUM($E107:Q107),"")</f>
        <v/>
      </c>
    </row>
    <row r="108" hidden="1">
      <c r="A108" s="41" t="s">
        <v>18</v>
      </c>
      <c r="B108" s="41" t="s">
        <v>35</v>
      </c>
      <c r="C108" s="41" t="s">
        <v>28</v>
      </c>
      <c r="D108" s="59" t="s">
        <v>68</v>
      </c>
      <c r="E108" s="60">
        <f>IFERROR(VLOOKUP($D108,qboIS!$A$7:$O$112,COLUMN(E108)-2,FALSE),"")</f>
        <v>57108.68</v>
      </c>
      <c r="F108" s="60">
        <f>IFERROR(VLOOKUP($D108,qboIS!$A$7:$O$112,COLUMN(F108)-2,FALSE),"")</f>
        <v>34607.81</v>
      </c>
      <c r="G108" s="60">
        <f>IFERROR(VLOOKUP($D108,qboIS!$A$7:$O$112,COLUMN(G108)-2,FALSE),"")</f>
        <v>35839.74</v>
      </c>
      <c r="H108" s="60">
        <f>IFERROR(VLOOKUP($D108,qboIS!$A$7:$O$112,COLUMN(H108)-2,FALSE),"")</f>
        <v>49022.78</v>
      </c>
      <c r="I108" s="60">
        <f>IFERROR(VLOOKUP($D108,qboIS!$A$7:$O$112,COLUMN(I108)-2,FALSE),"")</f>
        <v>44235.29</v>
      </c>
      <c r="J108" s="60">
        <f>IFERROR(VLOOKUP($D108,qboIS!$A$7:$O$112,COLUMN(J108)-2,FALSE),"")</f>
        <v>58722.16</v>
      </c>
      <c r="K108" s="60">
        <f>IFERROR(VLOOKUP($D108,qboIS!$A$7:$O$112,COLUMN(K108)-2,FALSE),"")</f>
        <v>50116.67</v>
      </c>
      <c r="L108" s="60">
        <f>IFERROR(VLOOKUP($D108,qboIS!$A$7:$O$112,COLUMN(L108)-2,FALSE),"")</f>
        <v>41230</v>
      </c>
      <c r="M108" s="60">
        <f>IFERROR(VLOOKUP($D108,qboIS!$A$7:$O$112,COLUMN(M108)-2,FALSE),"")</f>
        <v>42057.47</v>
      </c>
      <c r="N108" s="60">
        <f>IFERROR(VLOOKUP($D108,qboIS!$A$7:$O$112,COLUMN(N108)-2,FALSE),"")</f>
        <v>412940.6</v>
      </c>
      <c r="O108" s="60" t="str">
        <f>IFERROR(VLOOKUP($D108,qboIS!$A$7:$O$112,COLUMN(O108)-2,FALSE),"")</f>
        <v/>
      </c>
      <c r="P108" s="60" t="str">
        <f>IFERROR(VLOOKUP($D108,qboIS!$A$7:$O$112,COLUMN(P108)-2,FALSE),"")</f>
        <v/>
      </c>
      <c r="Q108" s="60" t="str">
        <f>IFERROR(VLOOKUP($D108,qboIS!$A$7:$O$112,COLUMN(Q108)-2,FALSE),"")</f>
        <v/>
      </c>
      <c r="R108" s="60"/>
      <c r="S108" s="60">
        <f>IF(S$1&lt;=DataSettings!$B$3,SUM($E108:E108),"")</f>
        <v>57108.68</v>
      </c>
      <c r="T108" s="60">
        <f>IF(T$1&lt;=DataSettings!$B$3,SUM($E108:F108),"")</f>
        <v>91716.49</v>
      </c>
      <c r="U108" s="60">
        <f>IF(U$1&lt;=DataSettings!$B$3,SUM($E108:G108),"")</f>
        <v>127556.23</v>
      </c>
      <c r="V108" s="60">
        <f>IF(V$1&lt;=DataSettings!$B$3,SUM($E108:H108),"")</f>
        <v>176579.01</v>
      </c>
      <c r="W108" s="60">
        <f>IF(W$1&lt;=DataSettings!$B$3,SUM($E108:I108),"")</f>
        <v>220814.3</v>
      </c>
      <c r="X108" s="60">
        <f>IF(X$1&lt;=DataSettings!$B$3,SUM($E108:J108),"")</f>
        <v>279536.46</v>
      </c>
      <c r="Y108" s="60">
        <f>IF(Y$1&lt;=DataSettings!$B$3,SUM($E108:K108),"")</f>
        <v>329653.13</v>
      </c>
      <c r="Z108" s="60">
        <f>IF(Z$1&lt;=DataSettings!$B$3,SUM($E108:L108),"")</f>
        <v>370883.13</v>
      </c>
      <c r="AA108" s="60">
        <f>IF(AA$1&lt;=DataSettings!$B$3,SUM($E108:M108),"")</f>
        <v>412940.6</v>
      </c>
      <c r="AB108" s="60" t="str">
        <f>IF(AB$1&lt;=DataSettings!$B$3,SUM($E108:N108),"")</f>
        <v/>
      </c>
      <c r="AC108" s="60" t="str">
        <f>IF(AC$1&lt;=DataSettings!$B$3,SUM($E108:O108),"")</f>
        <v/>
      </c>
      <c r="AD108" s="60" t="str">
        <f>IF(AD$1&lt;=DataSettings!$B$3,SUM($E108:P108),"")</f>
        <v/>
      </c>
      <c r="AE108" s="60" t="str">
        <f>IF(AE$1&lt;=DataSettings!$B$3,SUM($E108:Q108),"")</f>
        <v/>
      </c>
    </row>
    <row r="109" hidden="1">
      <c r="A109" s="41" t="s">
        <v>18</v>
      </c>
      <c r="B109" s="41" t="s">
        <v>35</v>
      </c>
      <c r="C109" s="41" t="s">
        <v>28</v>
      </c>
      <c r="D109" s="59" t="s">
        <v>69</v>
      </c>
      <c r="E109" s="60">
        <f>IFERROR(VLOOKUP($D109,qboIS!$A$7:$O$112,COLUMN(E109)-2,FALSE),"")</f>
        <v>24.85</v>
      </c>
      <c r="F109" s="60">
        <f>IFERROR(VLOOKUP($D109,qboIS!$A$7:$O$112,COLUMN(F109)-2,FALSE),"")</f>
        <v>74.74</v>
      </c>
      <c r="G109" s="60">
        <f>IFERROR(VLOOKUP($D109,qboIS!$A$7:$O$112,COLUMN(G109)-2,FALSE),"")</f>
        <v>2301.25</v>
      </c>
      <c r="H109" s="60">
        <f>IFERROR(VLOOKUP($D109,qboIS!$A$7:$O$112,COLUMN(H109)-2,FALSE),"")</f>
        <v>270.59</v>
      </c>
      <c r="I109" s="60">
        <f>IFERROR(VLOOKUP($D109,qboIS!$A$7:$O$112,COLUMN(I109)-2,FALSE),"")</f>
        <v>258.88</v>
      </c>
      <c r="J109" s="60">
        <f>IFERROR(VLOOKUP($D109,qboIS!$A$7:$O$112,COLUMN(J109)-2,FALSE),"")</f>
        <v>217.07</v>
      </c>
      <c r="K109" s="60">
        <f>IFERROR(VLOOKUP($D109,qboIS!$A$7:$O$112,COLUMN(K109)-2,FALSE),"")</f>
        <v>60</v>
      </c>
      <c r="L109" s="60">
        <f>IFERROR(VLOOKUP($D109,qboIS!$A$7:$O$112,COLUMN(L109)-2,FALSE),"")</f>
        <v>932.8</v>
      </c>
      <c r="M109" s="60">
        <f>IFERROR(VLOOKUP($D109,qboIS!$A$7:$O$112,COLUMN(M109)-2,FALSE),"")</f>
        <v>2408.67</v>
      </c>
      <c r="N109" s="60">
        <f>IFERROR(VLOOKUP($D109,qboIS!$A$7:$O$112,COLUMN(N109)-2,FALSE),"")</f>
        <v>6548.85</v>
      </c>
      <c r="O109" s="60" t="str">
        <f>IFERROR(VLOOKUP($D109,qboIS!$A$7:$O$112,COLUMN(O109)-2,FALSE),"")</f>
        <v/>
      </c>
      <c r="P109" s="60" t="str">
        <f>IFERROR(VLOOKUP($D109,qboIS!$A$7:$O$112,COLUMN(P109)-2,FALSE),"")</f>
        <v/>
      </c>
      <c r="Q109" s="60" t="str">
        <f>IFERROR(VLOOKUP($D109,qboIS!$A$7:$O$112,COLUMN(Q109)-2,FALSE),"")</f>
        <v/>
      </c>
      <c r="R109" s="60"/>
      <c r="S109" s="60">
        <f>IF(S$1&lt;=DataSettings!$B$3,SUM($E109:E109),"")</f>
        <v>24.85</v>
      </c>
      <c r="T109" s="60">
        <f>IF(T$1&lt;=DataSettings!$B$3,SUM($E109:F109),"")</f>
        <v>99.59</v>
      </c>
      <c r="U109" s="60">
        <f>IF(U$1&lt;=DataSettings!$B$3,SUM($E109:G109),"")</f>
        <v>2400.84</v>
      </c>
      <c r="V109" s="60">
        <f>IF(V$1&lt;=DataSettings!$B$3,SUM($E109:H109),"")</f>
        <v>2671.43</v>
      </c>
      <c r="W109" s="60">
        <f>IF(W$1&lt;=DataSettings!$B$3,SUM($E109:I109),"")</f>
        <v>2930.31</v>
      </c>
      <c r="X109" s="60">
        <f>IF(X$1&lt;=DataSettings!$B$3,SUM($E109:J109),"")</f>
        <v>3147.38</v>
      </c>
      <c r="Y109" s="60">
        <f>IF(Y$1&lt;=DataSettings!$B$3,SUM($E109:K109),"")</f>
        <v>3207.38</v>
      </c>
      <c r="Z109" s="60">
        <f>IF(Z$1&lt;=DataSettings!$B$3,SUM($E109:L109),"")</f>
        <v>4140.18</v>
      </c>
      <c r="AA109" s="60">
        <f>IF(AA$1&lt;=DataSettings!$B$3,SUM($E109:M109),"")</f>
        <v>6548.85</v>
      </c>
      <c r="AB109" s="60" t="str">
        <f>IF(AB$1&lt;=DataSettings!$B$3,SUM($E109:N109),"")</f>
        <v/>
      </c>
      <c r="AC109" s="60" t="str">
        <f>IF(AC$1&lt;=DataSettings!$B$3,SUM($E109:O109),"")</f>
        <v/>
      </c>
      <c r="AD109" s="60" t="str">
        <f>IF(AD$1&lt;=DataSettings!$B$3,SUM($E109:P109),"")</f>
        <v/>
      </c>
      <c r="AE109" s="60" t="str">
        <f>IF(AE$1&lt;=DataSettings!$B$3,SUM($E109:Q109),"")</f>
        <v/>
      </c>
    </row>
    <row r="110" hidden="1">
      <c r="A110" s="41" t="s">
        <v>18</v>
      </c>
      <c r="B110" s="41" t="s">
        <v>35</v>
      </c>
      <c r="C110" s="41" t="s">
        <v>28</v>
      </c>
      <c r="D110" s="59" t="s">
        <v>70</v>
      </c>
      <c r="E110" s="60">
        <f>IFERROR(VLOOKUP($D110,qboIS!$A$7:$O$112,COLUMN(E110)-2,FALSE),"")</f>
        <v>66376.65</v>
      </c>
      <c r="F110" s="60">
        <f>IFERROR(VLOOKUP($D110,qboIS!$A$7:$O$112,COLUMN(F110)-2,FALSE),"")</f>
        <v>75.9</v>
      </c>
      <c r="G110" s="60">
        <f>IFERROR(VLOOKUP($D110,qboIS!$A$7:$O$112,COLUMN(G110)-2,FALSE),"")</f>
        <v>172.1</v>
      </c>
      <c r="H110" s="60" t="str">
        <f>IFERROR(VLOOKUP($D110,qboIS!$A$7:$O$112,COLUMN(H110)-2,FALSE),"")</f>
        <v/>
      </c>
      <c r="I110" s="60">
        <f>IFERROR(VLOOKUP($D110,qboIS!$A$7:$O$112,COLUMN(I110)-2,FALSE),"")</f>
        <v>10.99</v>
      </c>
      <c r="J110" s="60">
        <f>IFERROR(VLOOKUP($D110,qboIS!$A$7:$O$112,COLUMN(J110)-2,FALSE),"")</f>
        <v>3107.24</v>
      </c>
      <c r="K110" s="60">
        <f>IFERROR(VLOOKUP($D110,qboIS!$A$7:$O$112,COLUMN(K110)-2,FALSE),"")</f>
        <v>276.29</v>
      </c>
      <c r="L110" s="60">
        <f>IFERROR(VLOOKUP($D110,qboIS!$A$7:$O$112,COLUMN(L110)-2,FALSE),"")</f>
        <v>1661.78</v>
      </c>
      <c r="M110" s="60">
        <f>IFERROR(VLOOKUP($D110,qboIS!$A$7:$O$112,COLUMN(M110)-2,FALSE),"")</f>
        <v>10625.8</v>
      </c>
      <c r="N110" s="60">
        <f>IFERROR(VLOOKUP($D110,qboIS!$A$7:$O$112,COLUMN(N110)-2,FALSE),"")</f>
        <v>82306.75</v>
      </c>
      <c r="O110" s="60" t="str">
        <f>IFERROR(VLOOKUP($D110,qboIS!$A$7:$O$112,COLUMN(O110)-2,FALSE),"")</f>
        <v/>
      </c>
      <c r="P110" s="60" t="str">
        <f>IFERROR(VLOOKUP($D110,qboIS!$A$7:$O$112,COLUMN(P110)-2,FALSE),"")</f>
        <v/>
      </c>
      <c r="Q110" s="60" t="str">
        <f>IFERROR(VLOOKUP($D110,qboIS!$A$7:$O$112,COLUMN(Q110)-2,FALSE),"")</f>
        <v/>
      </c>
      <c r="R110" s="60"/>
      <c r="S110" s="60">
        <f>IF(S$1&lt;=DataSettings!$B$3,SUM($E110:E110),"")</f>
        <v>66376.65</v>
      </c>
      <c r="T110" s="60">
        <f>IF(T$1&lt;=DataSettings!$B$3,SUM($E110:F110),"")</f>
        <v>66452.55</v>
      </c>
      <c r="U110" s="60">
        <f>IF(U$1&lt;=DataSettings!$B$3,SUM($E110:G110),"")</f>
        <v>66624.65</v>
      </c>
      <c r="V110" s="60">
        <f>IF(V$1&lt;=DataSettings!$B$3,SUM($E110:H110),"")</f>
        <v>66624.65</v>
      </c>
      <c r="W110" s="60">
        <f>IF(W$1&lt;=DataSettings!$B$3,SUM($E110:I110),"")</f>
        <v>66635.64</v>
      </c>
      <c r="X110" s="60">
        <f>IF(X$1&lt;=DataSettings!$B$3,SUM($E110:J110),"")</f>
        <v>69742.88</v>
      </c>
      <c r="Y110" s="60">
        <f>IF(Y$1&lt;=DataSettings!$B$3,SUM($E110:K110),"")</f>
        <v>70019.17</v>
      </c>
      <c r="Z110" s="60">
        <f>IF(Z$1&lt;=DataSettings!$B$3,SUM($E110:L110),"")</f>
        <v>71680.95</v>
      </c>
      <c r="AA110" s="60">
        <f>IF(AA$1&lt;=DataSettings!$B$3,SUM($E110:M110),"")</f>
        <v>82306.75</v>
      </c>
      <c r="AB110" s="60" t="str">
        <f>IF(AB$1&lt;=DataSettings!$B$3,SUM($E110:N110),"")</f>
        <v/>
      </c>
      <c r="AC110" s="60" t="str">
        <f>IF(AC$1&lt;=DataSettings!$B$3,SUM($E110:O110),"")</f>
        <v/>
      </c>
      <c r="AD110" s="60" t="str">
        <f>IF(AD$1&lt;=DataSettings!$B$3,SUM($E110:P110),"")</f>
        <v/>
      </c>
      <c r="AE110" s="60" t="str">
        <f>IF(AE$1&lt;=DataSettings!$B$3,SUM($E110:Q110),"")</f>
        <v/>
      </c>
    </row>
    <row r="111" hidden="1">
      <c r="A111" s="41" t="s">
        <v>18</v>
      </c>
      <c r="B111" s="41" t="s">
        <v>35</v>
      </c>
      <c r="C111" s="41" t="s">
        <v>28</v>
      </c>
      <c r="D111" s="59" t="s">
        <v>71</v>
      </c>
      <c r="E111" s="60" t="str">
        <f>IFERROR(VLOOKUP($D111,qboIS!$A$7:$O$112,COLUMN(E111)-2,FALSE),"")</f>
        <v/>
      </c>
      <c r="F111" s="60">
        <f>IFERROR(VLOOKUP($D111,qboIS!$A$7:$O$112,COLUMN(F111)-2,FALSE),"")</f>
        <v>2512.09</v>
      </c>
      <c r="G111" s="60" t="str">
        <f>IFERROR(VLOOKUP($D111,qboIS!$A$7:$O$112,COLUMN(G111)-2,FALSE),"")</f>
        <v/>
      </c>
      <c r="H111" s="60">
        <f>IFERROR(VLOOKUP($D111,qboIS!$A$7:$O$112,COLUMN(H111)-2,FALSE),"")</f>
        <v>43.52</v>
      </c>
      <c r="I111" s="60">
        <f>IFERROR(VLOOKUP($D111,qboIS!$A$7:$O$112,COLUMN(I111)-2,FALSE),"")</f>
        <v>3215.85</v>
      </c>
      <c r="J111" s="60" t="str">
        <f>IFERROR(VLOOKUP($D111,qboIS!$A$7:$O$112,COLUMN(J111)-2,FALSE),"")</f>
        <v/>
      </c>
      <c r="K111" s="60">
        <f>IFERROR(VLOOKUP($D111,qboIS!$A$7:$O$112,COLUMN(K111)-2,FALSE),"")</f>
        <v>454.88</v>
      </c>
      <c r="L111" s="60" t="str">
        <f>IFERROR(VLOOKUP($D111,qboIS!$A$7:$O$112,COLUMN(L111)-2,FALSE),"")</f>
        <v/>
      </c>
      <c r="M111" s="60">
        <f>IFERROR(VLOOKUP($D111,qboIS!$A$7:$O$112,COLUMN(M111)-2,FALSE),"")</f>
        <v>2319</v>
      </c>
      <c r="N111" s="60">
        <f>IFERROR(VLOOKUP($D111,qboIS!$A$7:$O$112,COLUMN(N111)-2,FALSE),"")</f>
        <v>8545.34</v>
      </c>
      <c r="O111" s="60" t="str">
        <f>IFERROR(VLOOKUP($D111,qboIS!$A$7:$O$112,COLUMN(O111)-2,FALSE),"")</f>
        <v/>
      </c>
      <c r="P111" s="60" t="str">
        <f>IFERROR(VLOOKUP($D111,qboIS!$A$7:$O$112,COLUMN(P111)-2,FALSE),"")</f>
        <v/>
      </c>
      <c r="Q111" s="60" t="str">
        <f>IFERROR(VLOOKUP($D111,qboIS!$A$7:$O$112,COLUMN(Q111)-2,FALSE),"")</f>
        <v/>
      </c>
      <c r="R111" s="60"/>
      <c r="S111" s="60">
        <f>IF(S$1&lt;=DataSettings!$B$3,SUM($E111:E111),"")</f>
        <v>0</v>
      </c>
      <c r="T111" s="60">
        <f>IF(T$1&lt;=DataSettings!$B$3,SUM($E111:F111),"")</f>
        <v>2512.09</v>
      </c>
      <c r="U111" s="60">
        <f>IF(U$1&lt;=DataSettings!$B$3,SUM($E111:G111),"")</f>
        <v>2512.09</v>
      </c>
      <c r="V111" s="60">
        <f>IF(V$1&lt;=DataSettings!$B$3,SUM($E111:H111),"")</f>
        <v>2555.61</v>
      </c>
      <c r="W111" s="60">
        <f>IF(W$1&lt;=DataSettings!$B$3,SUM($E111:I111),"")</f>
        <v>5771.46</v>
      </c>
      <c r="X111" s="60">
        <f>IF(X$1&lt;=DataSettings!$B$3,SUM($E111:J111),"")</f>
        <v>5771.46</v>
      </c>
      <c r="Y111" s="60">
        <f>IF(Y$1&lt;=DataSettings!$B$3,SUM($E111:K111),"")</f>
        <v>6226.34</v>
      </c>
      <c r="Z111" s="60">
        <f>IF(Z$1&lt;=DataSettings!$B$3,SUM($E111:L111),"")</f>
        <v>6226.34</v>
      </c>
      <c r="AA111" s="60">
        <f>IF(AA$1&lt;=DataSettings!$B$3,SUM($E111:M111),"")</f>
        <v>8545.34</v>
      </c>
      <c r="AB111" s="60" t="str">
        <f>IF(AB$1&lt;=DataSettings!$B$3,SUM($E111:N111),"")</f>
        <v/>
      </c>
      <c r="AC111" s="60" t="str">
        <f>IF(AC$1&lt;=DataSettings!$B$3,SUM($E111:O111),"")</f>
        <v/>
      </c>
      <c r="AD111" s="60" t="str">
        <f>IF(AD$1&lt;=DataSettings!$B$3,SUM($E111:P111),"")</f>
        <v/>
      </c>
      <c r="AE111" s="60" t="str">
        <f>IF(AE$1&lt;=DataSettings!$B$3,SUM($E111:Q111),"")</f>
        <v/>
      </c>
    </row>
    <row r="112" hidden="1">
      <c r="A112" s="41" t="s">
        <v>18</v>
      </c>
      <c r="B112" s="41" t="s">
        <v>35</v>
      </c>
      <c r="C112" s="41" t="s">
        <v>28</v>
      </c>
      <c r="D112" s="59" t="s">
        <v>72</v>
      </c>
      <c r="E112" s="60" t="str">
        <f>IFERROR(VLOOKUP($D112,qboIS!$A$7:$O$112,COLUMN(E112)-2,FALSE),"")</f>
        <v/>
      </c>
      <c r="F112" s="60" t="str">
        <f>IFERROR(VLOOKUP($D112,qboIS!$A$7:$O$112,COLUMN(F112)-2,FALSE),"")</f>
        <v/>
      </c>
      <c r="G112" s="60" t="str">
        <f>IFERROR(VLOOKUP($D112,qboIS!$A$7:$O$112,COLUMN(G112)-2,FALSE),"")</f>
        <v/>
      </c>
      <c r="H112" s="60" t="str">
        <f>IFERROR(VLOOKUP($D112,qboIS!$A$7:$O$112,COLUMN(H112)-2,FALSE),"")</f>
        <v/>
      </c>
      <c r="I112" s="60" t="str">
        <f>IFERROR(VLOOKUP($D112,qboIS!$A$7:$O$112,COLUMN(I112)-2,FALSE),"")</f>
        <v/>
      </c>
      <c r="J112" s="60" t="str">
        <f>IFERROR(VLOOKUP($D112,qboIS!$A$7:$O$112,COLUMN(J112)-2,FALSE),"")</f>
        <v/>
      </c>
      <c r="K112" s="60" t="str">
        <f>IFERROR(VLOOKUP($D112,qboIS!$A$7:$O$112,COLUMN(K112)-2,FALSE),"")</f>
        <v/>
      </c>
      <c r="L112" s="60" t="str">
        <f>IFERROR(VLOOKUP($D112,qboIS!$A$7:$O$112,COLUMN(L112)-2,FALSE),"")</f>
        <v/>
      </c>
      <c r="M112" s="60" t="str">
        <f>IFERROR(VLOOKUP($D112,qboIS!$A$7:$O$112,COLUMN(M112)-2,FALSE),"")</f>
        <v/>
      </c>
      <c r="N112" s="60" t="str">
        <f>IFERROR(VLOOKUP($D112,qboIS!$A$7:$O$112,COLUMN(N112)-2,FALSE),"")</f>
        <v/>
      </c>
      <c r="O112" s="60" t="str">
        <f>IFERROR(VLOOKUP($D112,qboIS!$A$7:$O$112,COLUMN(O112)-2,FALSE),"")</f>
        <v/>
      </c>
      <c r="P112" s="60" t="str">
        <f>IFERROR(VLOOKUP($D112,qboIS!$A$7:$O$112,COLUMN(P112)-2,FALSE),"")</f>
        <v/>
      </c>
      <c r="Q112" s="60" t="str">
        <f>IFERROR(VLOOKUP($D112,qboIS!$A$7:$O$112,COLUMN(Q112)-2,FALSE),"")</f>
        <v/>
      </c>
      <c r="R112" s="60"/>
      <c r="S112" s="60">
        <f>IF(S$1&lt;=DataSettings!$B$3,SUM($E112:E112),"")</f>
        <v>0</v>
      </c>
      <c r="T112" s="60">
        <f>IF(T$1&lt;=DataSettings!$B$3,SUM($E112:F112),"")</f>
        <v>0</v>
      </c>
      <c r="U112" s="60">
        <f>IF(U$1&lt;=DataSettings!$B$3,SUM($E112:G112),"")</f>
        <v>0</v>
      </c>
      <c r="V112" s="60">
        <f>IF(V$1&lt;=DataSettings!$B$3,SUM($E112:H112),"")</f>
        <v>0</v>
      </c>
      <c r="W112" s="60">
        <f>IF(W$1&lt;=DataSettings!$B$3,SUM($E112:I112),"")</f>
        <v>0</v>
      </c>
      <c r="X112" s="60">
        <f>IF(X$1&lt;=DataSettings!$B$3,SUM($E112:J112),"")</f>
        <v>0</v>
      </c>
      <c r="Y112" s="60">
        <f>IF(Y$1&lt;=DataSettings!$B$3,SUM($E112:K112),"")</f>
        <v>0</v>
      </c>
      <c r="Z112" s="60">
        <f>IF(Z$1&lt;=DataSettings!$B$3,SUM($E112:L112),"")</f>
        <v>0</v>
      </c>
      <c r="AA112" s="60">
        <f>IF(AA$1&lt;=DataSettings!$B$3,SUM($E112:M112),"")</f>
        <v>0</v>
      </c>
      <c r="AB112" s="60" t="str">
        <f>IF(AB$1&lt;=DataSettings!$B$3,SUM($E112:N112),"")</f>
        <v/>
      </c>
      <c r="AC112" s="60" t="str">
        <f>IF(AC$1&lt;=DataSettings!$B$3,SUM($E112:O112),"")</f>
        <v/>
      </c>
      <c r="AD112" s="60" t="str">
        <f>IF(AD$1&lt;=DataSettings!$B$3,SUM($E112:P112),"")</f>
        <v/>
      </c>
      <c r="AE112" s="60" t="str">
        <f>IF(AE$1&lt;=DataSettings!$B$3,SUM($E112:Q112),"")</f>
        <v/>
      </c>
    </row>
    <row r="113" hidden="1">
      <c r="A113" s="41" t="s">
        <v>18</v>
      </c>
      <c r="B113" s="41" t="s">
        <v>35</v>
      </c>
      <c r="C113" s="41" t="s">
        <v>28</v>
      </c>
      <c r="D113" s="59" t="s">
        <v>73</v>
      </c>
      <c r="E113" s="60" t="str">
        <f>IFERROR(VLOOKUP($D113,qboIS!$A$7:$O$112,COLUMN(E113)-2,FALSE),"")</f>
        <v/>
      </c>
      <c r="F113" s="60" t="str">
        <f>IFERROR(VLOOKUP($D113,qboIS!$A$7:$O$112,COLUMN(F113)-2,FALSE),"")</f>
        <v/>
      </c>
      <c r="G113" s="60" t="str">
        <f>IFERROR(VLOOKUP($D113,qboIS!$A$7:$O$112,COLUMN(G113)-2,FALSE),"")</f>
        <v/>
      </c>
      <c r="H113" s="60" t="str">
        <f>IFERROR(VLOOKUP($D113,qboIS!$A$7:$O$112,COLUMN(H113)-2,FALSE),"")</f>
        <v/>
      </c>
      <c r="I113" s="60" t="str">
        <f>IFERROR(VLOOKUP($D113,qboIS!$A$7:$O$112,COLUMN(I113)-2,FALSE),"")</f>
        <v/>
      </c>
      <c r="J113" s="60" t="str">
        <f>IFERROR(VLOOKUP($D113,qboIS!$A$7:$O$112,COLUMN(J113)-2,FALSE),"")</f>
        <v/>
      </c>
      <c r="K113" s="60" t="str">
        <f>IFERROR(VLOOKUP($D113,qboIS!$A$7:$O$112,COLUMN(K113)-2,FALSE),"")</f>
        <v/>
      </c>
      <c r="L113" s="60" t="str">
        <f>IFERROR(VLOOKUP($D113,qboIS!$A$7:$O$112,COLUMN(L113)-2,FALSE),"")</f>
        <v/>
      </c>
      <c r="M113" s="60" t="str">
        <f>IFERROR(VLOOKUP($D113,qboIS!$A$7:$O$112,COLUMN(M113)-2,FALSE),"")</f>
        <v/>
      </c>
      <c r="N113" s="60" t="str">
        <f>IFERROR(VLOOKUP($D113,qboIS!$A$7:$O$112,COLUMN(N113)-2,FALSE),"")</f>
        <v/>
      </c>
      <c r="O113" s="60" t="str">
        <f>IFERROR(VLOOKUP($D113,qboIS!$A$7:$O$112,COLUMN(O113)-2,FALSE),"")</f>
        <v/>
      </c>
      <c r="P113" s="60" t="str">
        <f>IFERROR(VLOOKUP($D113,qboIS!$A$7:$O$112,COLUMN(P113)-2,FALSE),"")</f>
        <v/>
      </c>
      <c r="Q113" s="60" t="str">
        <f>IFERROR(VLOOKUP($D113,qboIS!$A$7:$O$112,COLUMN(Q113)-2,FALSE),"")</f>
        <v/>
      </c>
      <c r="R113" s="60"/>
      <c r="S113" s="60">
        <f>IF(S$1&lt;=DataSettings!$B$3,SUM($E113:E113),"")</f>
        <v>0</v>
      </c>
      <c r="T113" s="60">
        <f>IF(T$1&lt;=DataSettings!$B$3,SUM($E113:F113),"")</f>
        <v>0</v>
      </c>
      <c r="U113" s="60">
        <f>IF(U$1&lt;=DataSettings!$B$3,SUM($E113:G113),"")</f>
        <v>0</v>
      </c>
      <c r="V113" s="60">
        <f>IF(V$1&lt;=DataSettings!$B$3,SUM($E113:H113),"")</f>
        <v>0</v>
      </c>
      <c r="W113" s="60">
        <f>IF(W$1&lt;=DataSettings!$B$3,SUM($E113:I113),"")</f>
        <v>0</v>
      </c>
      <c r="X113" s="60">
        <f>IF(X$1&lt;=DataSettings!$B$3,SUM($E113:J113),"")</f>
        <v>0</v>
      </c>
      <c r="Y113" s="60">
        <f>IF(Y$1&lt;=DataSettings!$B$3,SUM($E113:K113),"")</f>
        <v>0</v>
      </c>
      <c r="Z113" s="60">
        <f>IF(Z$1&lt;=DataSettings!$B$3,SUM($E113:L113),"")</f>
        <v>0</v>
      </c>
      <c r="AA113" s="60">
        <f>IF(AA$1&lt;=DataSettings!$B$3,SUM($E113:M113),"")</f>
        <v>0</v>
      </c>
      <c r="AB113" s="60" t="str">
        <f>IF(AB$1&lt;=DataSettings!$B$3,SUM($E113:N113),"")</f>
        <v/>
      </c>
      <c r="AC113" s="60" t="str">
        <f>IF(AC$1&lt;=DataSettings!$B$3,SUM($E113:O113),"")</f>
        <v/>
      </c>
      <c r="AD113" s="60" t="str">
        <f>IF(AD$1&lt;=DataSettings!$B$3,SUM($E113:P113),"")</f>
        <v/>
      </c>
      <c r="AE113" s="60" t="str">
        <f>IF(AE$1&lt;=DataSettings!$B$3,SUM($E113:Q113),"")</f>
        <v/>
      </c>
    </row>
    <row r="114" hidden="1">
      <c r="A114" s="41" t="s">
        <v>18</v>
      </c>
      <c r="B114" s="41" t="s">
        <v>35</v>
      </c>
      <c r="C114" s="41" t="s">
        <v>28</v>
      </c>
      <c r="D114" s="59" t="s">
        <v>74</v>
      </c>
      <c r="E114" s="60" t="str">
        <f>IFERROR(VLOOKUP($D114,qboIS!$A$7:$O$112,COLUMN(E114)-2,FALSE),"")</f>
        <v/>
      </c>
      <c r="F114" s="60" t="str">
        <f>IFERROR(VLOOKUP($D114,qboIS!$A$7:$O$112,COLUMN(F114)-2,FALSE),"")</f>
        <v/>
      </c>
      <c r="G114" s="60" t="str">
        <f>IFERROR(VLOOKUP($D114,qboIS!$A$7:$O$112,COLUMN(G114)-2,FALSE),"")</f>
        <v/>
      </c>
      <c r="H114" s="60" t="str">
        <f>IFERROR(VLOOKUP($D114,qboIS!$A$7:$O$112,COLUMN(H114)-2,FALSE),"")</f>
        <v/>
      </c>
      <c r="I114" s="60" t="str">
        <f>IFERROR(VLOOKUP($D114,qboIS!$A$7:$O$112,COLUMN(I114)-2,FALSE),"")</f>
        <v/>
      </c>
      <c r="J114" s="60" t="str">
        <f>IFERROR(VLOOKUP($D114,qboIS!$A$7:$O$112,COLUMN(J114)-2,FALSE),"")</f>
        <v/>
      </c>
      <c r="K114" s="60" t="str">
        <f>IFERROR(VLOOKUP($D114,qboIS!$A$7:$O$112,COLUMN(K114)-2,FALSE),"")</f>
        <v/>
      </c>
      <c r="L114" s="60" t="str">
        <f>IFERROR(VLOOKUP($D114,qboIS!$A$7:$O$112,COLUMN(L114)-2,FALSE),"")</f>
        <v/>
      </c>
      <c r="M114" s="60" t="str">
        <f>IFERROR(VLOOKUP($D114,qboIS!$A$7:$O$112,COLUMN(M114)-2,FALSE),"")</f>
        <v/>
      </c>
      <c r="N114" s="60" t="str">
        <f>IFERROR(VLOOKUP($D114,qboIS!$A$7:$O$112,COLUMN(N114)-2,FALSE),"")</f>
        <v/>
      </c>
      <c r="O114" s="60" t="str">
        <f>IFERROR(VLOOKUP($D114,qboIS!$A$7:$O$112,COLUMN(O114)-2,FALSE),"")</f>
        <v/>
      </c>
      <c r="P114" s="60" t="str">
        <f>IFERROR(VLOOKUP($D114,qboIS!$A$7:$O$112,COLUMN(P114)-2,FALSE),"")</f>
        <v/>
      </c>
      <c r="Q114" s="60" t="str">
        <f>IFERROR(VLOOKUP($D114,qboIS!$A$7:$O$112,COLUMN(Q114)-2,FALSE),"")</f>
        <v/>
      </c>
      <c r="R114" s="60"/>
      <c r="S114" s="60">
        <f>IF(S$1&lt;=DataSettings!$B$3,SUM($E114:E114),"")</f>
        <v>0</v>
      </c>
      <c r="T114" s="60">
        <f>IF(T$1&lt;=DataSettings!$B$3,SUM($E114:F114),"")</f>
        <v>0</v>
      </c>
      <c r="U114" s="60">
        <f>IF(U$1&lt;=DataSettings!$B$3,SUM($E114:G114),"")</f>
        <v>0</v>
      </c>
      <c r="V114" s="60">
        <f>IF(V$1&lt;=DataSettings!$B$3,SUM($E114:H114),"")</f>
        <v>0</v>
      </c>
      <c r="W114" s="60">
        <f>IF(W$1&lt;=DataSettings!$B$3,SUM($E114:I114),"")</f>
        <v>0</v>
      </c>
      <c r="X114" s="60">
        <f>IF(X$1&lt;=DataSettings!$B$3,SUM($E114:J114),"")</f>
        <v>0</v>
      </c>
      <c r="Y114" s="60">
        <f>IF(Y$1&lt;=DataSettings!$B$3,SUM($E114:K114),"")</f>
        <v>0</v>
      </c>
      <c r="Z114" s="60">
        <f>IF(Z$1&lt;=DataSettings!$B$3,SUM($E114:L114),"")</f>
        <v>0</v>
      </c>
      <c r="AA114" s="60">
        <f>IF(AA$1&lt;=DataSettings!$B$3,SUM($E114:M114),"")</f>
        <v>0</v>
      </c>
      <c r="AB114" s="60" t="str">
        <f>IF(AB$1&lt;=DataSettings!$B$3,SUM($E114:N114),"")</f>
        <v/>
      </c>
      <c r="AC114" s="60" t="str">
        <f>IF(AC$1&lt;=DataSettings!$B$3,SUM($E114:O114),"")</f>
        <v/>
      </c>
      <c r="AD114" s="60" t="str">
        <f>IF(AD$1&lt;=DataSettings!$B$3,SUM($E114:P114),"")</f>
        <v/>
      </c>
      <c r="AE114" s="60" t="str">
        <f>IF(AE$1&lt;=DataSettings!$B$3,SUM($E114:Q114),"")</f>
        <v/>
      </c>
    </row>
    <row r="115" hidden="1">
      <c r="A115" s="41" t="s">
        <v>18</v>
      </c>
      <c r="B115" s="41" t="s">
        <v>35</v>
      </c>
      <c r="C115" s="41" t="s">
        <v>28</v>
      </c>
      <c r="D115" s="59" t="s">
        <v>75</v>
      </c>
      <c r="E115" s="60" t="str">
        <f>IFERROR(VLOOKUP($D115,qboIS!$A$7:$O$112,COLUMN(E115)-2,FALSE),"")</f>
        <v/>
      </c>
      <c r="F115" s="60" t="str">
        <f>IFERROR(VLOOKUP($D115,qboIS!$A$7:$O$112,COLUMN(F115)-2,FALSE),"")</f>
        <v/>
      </c>
      <c r="G115" s="60" t="str">
        <f>IFERROR(VLOOKUP($D115,qboIS!$A$7:$O$112,COLUMN(G115)-2,FALSE),"")</f>
        <v/>
      </c>
      <c r="H115" s="60" t="str">
        <f>IFERROR(VLOOKUP($D115,qboIS!$A$7:$O$112,COLUMN(H115)-2,FALSE),"")</f>
        <v/>
      </c>
      <c r="I115" s="60" t="str">
        <f>IFERROR(VLOOKUP($D115,qboIS!$A$7:$O$112,COLUMN(I115)-2,FALSE),"")</f>
        <v/>
      </c>
      <c r="J115" s="60" t="str">
        <f>IFERROR(VLOOKUP($D115,qboIS!$A$7:$O$112,COLUMN(J115)-2,FALSE),"")</f>
        <v/>
      </c>
      <c r="K115" s="60" t="str">
        <f>IFERROR(VLOOKUP($D115,qboIS!$A$7:$O$112,COLUMN(K115)-2,FALSE),"")</f>
        <v/>
      </c>
      <c r="L115" s="60" t="str">
        <f>IFERROR(VLOOKUP($D115,qboIS!$A$7:$O$112,COLUMN(L115)-2,FALSE),"")</f>
        <v/>
      </c>
      <c r="M115" s="60" t="str">
        <f>IFERROR(VLOOKUP($D115,qboIS!$A$7:$O$112,COLUMN(M115)-2,FALSE),"")</f>
        <v/>
      </c>
      <c r="N115" s="60" t="str">
        <f>IFERROR(VLOOKUP($D115,qboIS!$A$7:$O$112,COLUMN(N115)-2,FALSE),"")</f>
        <v/>
      </c>
      <c r="O115" s="60" t="str">
        <f>IFERROR(VLOOKUP($D115,qboIS!$A$7:$O$112,COLUMN(O115)-2,FALSE),"")</f>
        <v/>
      </c>
      <c r="P115" s="60" t="str">
        <f>IFERROR(VLOOKUP($D115,qboIS!$A$7:$O$112,COLUMN(P115)-2,FALSE),"")</f>
        <v/>
      </c>
      <c r="Q115" s="60" t="str">
        <f>IFERROR(VLOOKUP($D115,qboIS!$A$7:$O$112,COLUMN(Q115)-2,FALSE),"")</f>
        <v/>
      </c>
      <c r="R115" s="60"/>
      <c r="S115" s="60">
        <f>IF(S$1&lt;=DataSettings!$B$3,SUM($E115:E115),"")</f>
        <v>0</v>
      </c>
      <c r="T115" s="60">
        <f>IF(T$1&lt;=DataSettings!$B$3,SUM($E115:F115),"")</f>
        <v>0</v>
      </c>
      <c r="U115" s="60">
        <f>IF(U$1&lt;=DataSettings!$B$3,SUM($E115:G115),"")</f>
        <v>0</v>
      </c>
      <c r="V115" s="60">
        <f>IF(V$1&lt;=DataSettings!$B$3,SUM($E115:H115),"")</f>
        <v>0</v>
      </c>
      <c r="W115" s="60">
        <f>IF(W$1&lt;=DataSettings!$B$3,SUM($E115:I115),"")</f>
        <v>0</v>
      </c>
      <c r="X115" s="60">
        <f>IF(X$1&lt;=DataSettings!$B$3,SUM($E115:J115),"")</f>
        <v>0</v>
      </c>
      <c r="Y115" s="60">
        <f>IF(Y$1&lt;=DataSettings!$B$3,SUM($E115:K115),"")</f>
        <v>0</v>
      </c>
      <c r="Z115" s="60">
        <f>IF(Z$1&lt;=DataSettings!$B$3,SUM($E115:L115),"")</f>
        <v>0</v>
      </c>
      <c r="AA115" s="60">
        <f>IF(AA$1&lt;=DataSettings!$B$3,SUM($E115:M115),"")</f>
        <v>0</v>
      </c>
      <c r="AB115" s="60" t="str">
        <f>IF(AB$1&lt;=DataSettings!$B$3,SUM($E115:N115),"")</f>
        <v/>
      </c>
      <c r="AC115" s="60" t="str">
        <f>IF(AC$1&lt;=DataSettings!$B$3,SUM($E115:O115),"")</f>
        <v/>
      </c>
      <c r="AD115" s="60" t="str">
        <f>IF(AD$1&lt;=DataSettings!$B$3,SUM($E115:P115),"")</f>
        <v/>
      </c>
      <c r="AE115" s="60" t="str">
        <f>IF(AE$1&lt;=DataSettings!$B$3,SUM($E115:Q115),"")</f>
        <v/>
      </c>
    </row>
    <row r="116" hidden="1">
      <c r="A116" s="41" t="s">
        <v>18</v>
      </c>
      <c r="B116" s="41" t="s">
        <v>35</v>
      </c>
      <c r="C116" s="41" t="s">
        <v>28</v>
      </c>
      <c r="D116" s="59" t="s">
        <v>76</v>
      </c>
      <c r="E116" s="60" t="str">
        <f>IFERROR(VLOOKUP($D116,qboIS!$A$7:$O$112,COLUMN(E116)-2,FALSE),"")</f>
        <v/>
      </c>
      <c r="F116" s="60" t="str">
        <f>IFERROR(VLOOKUP($D116,qboIS!$A$7:$O$112,COLUMN(F116)-2,FALSE),"")</f>
        <v/>
      </c>
      <c r="G116" s="60" t="str">
        <f>IFERROR(VLOOKUP($D116,qboIS!$A$7:$O$112,COLUMN(G116)-2,FALSE),"")</f>
        <v/>
      </c>
      <c r="H116" s="60" t="str">
        <f>IFERROR(VLOOKUP($D116,qboIS!$A$7:$O$112,COLUMN(H116)-2,FALSE),"")</f>
        <v/>
      </c>
      <c r="I116" s="60" t="str">
        <f>IFERROR(VLOOKUP($D116,qboIS!$A$7:$O$112,COLUMN(I116)-2,FALSE),"")</f>
        <v/>
      </c>
      <c r="J116" s="60" t="str">
        <f>IFERROR(VLOOKUP($D116,qboIS!$A$7:$O$112,COLUMN(J116)-2,FALSE),"")</f>
        <v/>
      </c>
      <c r="K116" s="60" t="str">
        <f>IFERROR(VLOOKUP($D116,qboIS!$A$7:$O$112,COLUMN(K116)-2,FALSE),"")</f>
        <v/>
      </c>
      <c r="L116" s="60" t="str">
        <f>IFERROR(VLOOKUP($D116,qboIS!$A$7:$O$112,COLUMN(L116)-2,FALSE),"")</f>
        <v/>
      </c>
      <c r="M116" s="60" t="str">
        <f>IFERROR(VLOOKUP($D116,qboIS!$A$7:$O$112,COLUMN(M116)-2,FALSE),"")</f>
        <v/>
      </c>
      <c r="N116" s="60" t="str">
        <f>IFERROR(VLOOKUP($D116,qboIS!$A$7:$O$112,COLUMN(N116)-2,FALSE),"")</f>
        <v/>
      </c>
      <c r="O116" s="60" t="str">
        <f>IFERROR(VLOOKUP($D116,qboIS!$A$7:$O$112,COLUMN(O116)-2,FALSE),"")</f>
        <v/>
      </c>
      <c r="P116" s="60" t="str">
        <f>IFERROR(VLOOKUP($D116,qboIS!$A$7:$O$112,COLUMN(P116)-2,FALSE),"")</f>
        <v/>
      </c>
      <c r="Q116" s="60" t="str">
        <f>IFERROR(VLOOKUP($D116,qboIS!$A$7:$O$112,COLUMN(Q116)-2,FALSE),"")</f>
        <v/>
      </c>
      <c r="R116" s="60"/>
      <c r="S116" s="60">
        <f>IF(S$1&lt;=DataSettings!$B$3,SUM($E116:E116),"")</f>
        <v>0</v>
      </c>
      <c r="T116" s="60">
        <f>IF(T$1&lt;=DataSettings!$B$3,SUM($E116:F116),"")</f>
        <v>0</v>
      </c>
      <c r="U116" s="60">
        <f>IF(U$1&lt;=DataSettings!$B$3,SUM($E116:G116),"")</f>
        <v>0</v>
      </c>
      <c r="V116" s="60">
        <f>IF(V$1&lt;=DataSettings!$B$3,SUM($E116:H116),"")</f>
        <v>0</v>
      </c>
      <c r="W116" s="60">
        <f>IF(W$1&lt;=DataSettings!$B$3,SUM($E116:I116),"")</f>
        <v>0</v>
      </c>
      <c r="X116" s="60">
        <f>IF(X$1&lt;=DataSettings!$B$3,SUM($E116:J116),"")</f>
        <v>0</v>
      </c>
      <c r="Y116" s="60">
        <f>IF(Y$1&lt;=DataSettings!$B$3,SUM($E116:K116),"")</f>
        <v>0</v>
      </c>
      <c r="Z116" s="60">
        <f>IF(Z$1&lt;=DataSettings!$B$3,SUM($E116:L116),"")</f>
        <v>0</v>
      </c>
      <c r="AA116" s="60">
        <f>IF(AA$1&lt;=DataSettings!$B$3,SUM($E116:M116),"")</f>
        <v>0</v>
      </c>
      <c r="AB116" s="60" t="str">
        <f>IF(AB$1&lt;=DataSettings!$B$3,SUM($E116:N116),"")</f>
        <v/>
      </c>
      <c r="AC116" s="60" t="str">
        <f>IF(AC$1&lt;=DataSettings!$B$3,SUM($E116:O116),"")</f>
        <v/>
      </c>
      <c r="AD116" s="60" t="str">
        <f>IF(AD$1&lt;=DataSettings!$B$3,SUM($E116:P116),"")</f>
        <v/>
      </c>
      <c r="AE116" s="60" t="str">
        <f>IF(AE$1&lt;=DataSettings!$B$3,SUM($E116:Q116),"")</f>
        <v/>
      </c>
    </row>
    <row r="117" hidden="1">
      <c r="A117" s="41" t="s">
        <v>18</v>
      </c>
      <c r="B117" s="41" t="s">
        <v>35</v>
      </c>
      <c r="C117" s="41" t="s">
        <v>28</v>
      </c>
      <c r="D117" s="59" t="s">
        <v>77</v>
      </c>
      <c r="E117" s="60">
        <f>IFERROR(VLOOKUP($D117,qboIS!$A$7:$O$112,COLUMN(E117)-2,FALSE),"")</f>
        <v>28271.54</v>
      </c>
      <c r="F117" s="60">
        <f>IFERROR(VLOOKUP($D117,qboIS!$A$7:$O$112,COLUMN(F117)-2,FALSE),"")</f>
        <v>24204.68</v>
      </c>
      <c r="G117" s="60">
        <f>IFERROR(VLOOKUP($D117,qboIS!$A$7:$O$112,COLUMN(G117)-2,FALSE),"")</f>
        <v>24204.68</v>
      </c>
      <c r="H117" s="60">
        <f>IFERROR(VLOOKUP($D117,qboIS!$A$7:$O$112,COLUMN(H117)-2,FALSE),"")</f>
        <v>28652.82</v>
      </c>
      <c r="I117" s="60">
        <f>IFERROR(VLOOKUP($D117,qboIS!$A$7:$O$112,COLUMN(I117)-2,FALSE),"")</f>
        <v>28446.64</v>
      </c>
      <c r="J117" s="60">
        <f>IFERROR(VLOOKUP($D117,qboIS!$A$7:$O$112,COLUMN(J117)-2,FALSE),"")</f>
        <v>29417.3</v>
      </c>
      <c r="K117" s="60">
        <f>IFERROR(VLOOKUP($D117,qboIS!$A$7:$O$112,COLUMN(K117)-2,FALSE),"")</f>
        <v>21301.41</v>
      </c>
      <c r="L117" s="60">
        <f>IFERROR(VLOOKUP($D117,qboIS!$A$7:$O$112,COLUMN(L117)-2,FALSE),"")</f>
        <v>29018.75</v>
      </c>
      <c r="M117" s="60">
        <f>IFERROR(VLOOKUP($D117,qboIS!$A$7:$O$112,COLUMN(M117)-2,FALSE),"")</f>
        <v>28160</v>
      </c>
      <c r="N117" s="60">
        <f>IFERROR(VLOOKUP($D117,qboIS!$A$7:$O$112,COLUMN(N117)-2,FALSE),"")</f>
        <v>241677.82</v>
      </c>
      <c r="O117" s="60" t="str">
        <f>IFERROR(VLOOKUP($D117,qboIS!$A$7:$O$112,COLUMN(O117)-2,FALSE),"")</f>
        <v/>
      </c>
      <c r="P117" s="60" t="str">
        <f>IFERROR(VLOOKUP($D117,qboIS!$A$7:$O$112,COLUMN(P117)-2,FALSE),"")</f>
        <v/>
      </c>
      <c r="Q117" s="60" t="str">
        <f>IFERROR(VLOOKUP($D117,qboIS!$A$7:$O$112,COLUMN(Q117)-2,FALSE),"")</f>
        <v/>
      </c>
      <c r="R117" s="60"/>
      <c r="S117" s="60">
        <f>IF(S$1&lt;=DataSettings!$B$3,SUM($E117:E117),"")</f>
        <v>28271.54</v>
      </c>
      <c r="T117" s="60">
        <f>IF(T$1&lt;=DataSettings!$B$3,SUM($E117:F117),"")</f>
        <v>52476.22</v>
      </c>
      <c r="U117" s="60">
        <f>IF(U$1&lt;=DataSettings!$B$3,SUM($E117:G117),"")</f>
        <v>76680.9</v>
      </c>
      <c r="V117" s="60">
        <f>IF(V$1&lt;=DataSettings!$B$3,SUM($E117:H117),"")</f>
        <v>105333.72</v>
      </c>
      <c r="W117" s="60">
        <f>IF(W$1&lt;=DataSettings!$B$3,SUM($E117:I117),"")</f>
        <v>133780.36</v>
      </c>
      <c r="X117" s="60">
        <f>IF(X$1&lt;=DataSettings!$B$3,SUM($E117:J117),"")</f>
        <v>163197.66</v>
      </c>
      <c r="Y117" s="60">
        <f>IF(Y$1&lt;=DataSettings!$B$3,SUM($E117:K117),"")</f>
        <v>184499.07</v>
      </c>
      <c r="Z117" s="60">
        <f>IF(Z$1&lt;=DataSettings!$B$3,SUM($E117:L117),"")</f>
        <v>213517.82</v>
      </c>
      <c r="AA117" s="60">
        <f>IF(AA$1&lt;=DataSettings!$B$3,SUM($E117:M117),"")</f>
        <v>241677.82</v>
      </c>
      <c r="AB117" s="60" t="str">
        <f>IF(AB$1&lt;=DataSettings!$B$3,SUM($E117:N117),"")</f>
        <v/>
      </c>
      <c r="AC117" s="60" t="str">
        <f>IF(AC$1&lt;=DataSettings!$B$3,SUM($E117:O117),"")</f>
        <v/>
      </c>
      <c r="AD117" s="60" t="str">
        <f>IF(AD$1&lt;=DataSettings!$B$3,SUM($E117:P117),"")</f>
        <v/>
      </c>
      <c r="AE117" s="60" t="str">
        <f>IF(AE$1&lt;=DataSettings!$B$3,SUM($E117:Q117),"")</f>
        <v/>
      </c>
    </row>
    <row r="118" hidden="1">
      <c r="A118" s="41" t="s">
        <v>18</v>
      </c>
      <c r="B118" s="41" t="s">
        <v>35</v>
      </c>
      <c r="C118" s="41" t="s">
        <v>23</v>
      </c>
      <c r="D118" s="59" t="s">
        <v>78</v>
      </c>
      <c r="E118" s="60" t="str">
        <f>IFERROR(VLOOKUP($D118,qboIS!$A$7:$O$112,COLUMN(E118)-2,FALSE),"")</f>
        <v/>
      </c>
      <c r="F118" s="60" t="str">
        <f>IFERROR(VLOOKUP($D118,qboIS!$A$7:$O$112,COLUMN(F118)-2,FALSE),"")</f>
        <v/>
      </c>
      <c r="G118" s="60" t="str">
        <f>IFERROR(VLOOKUP($D118,qboIS!$A$7:$O$112,COLUMN(G118)-2,FALSE),"")</f>
        <v/>
      </c>
      <c r="H118" s="60" t="str">
        <f>IFERROR(VLOOKUP($D118,qboIS!$A$7:$O$112,COLUMN(H118)-2,FALSE),"")</f>
        <v/>
      </c>
      <c r="I118" s="60" t="str">
        <f>IFERROR(VLOOKUP($D118,qboIS!$A$7:$O$112,COLUMN(I118)-2,FALSE),"")</f>
        <v/>
      </c>
      <c r="J118" s="60">
        <f>IFERROR(VLOOKUP($D118,qboIS!$A$7:$O$112,COLUMN(J118)-2,FALSE),"")</f>
        <v>2100</v>
      </c>
      <c r="K118" s="60" t="str">
        <f>IFERROR(VLOOKUP($D118,qboIS!$A$7:$O$112,COLUMN(K118)-2,FALSE),"")</f>
        <v/>
      </c>
      <c r="L118" s="60" t="str">
        <f>IFERROR(VLOOKUP($D118,qboIS!$A$7:$O$112,COLUMN(L118)-2,FALSE),"")</f>
        <v/>
      </c>
      <c r="M118" s="60" t="str">
        <f>IFERROR(VLOOKUP($D118,qboIS!$A$7:$O$112,COLUMN(M118)-2,FALSE),"")</f>
        <v/>
      </c>
      <c r="N118" s="60">
        <f>IFERROR(VLOOKUP($D118,qboIS!$A$7:$O$112,COLUMN(N118)-2,FALSE),"")</f>
        <v>2100</v>
      </c>
      <c r="O118" s="60" t="str">
        <f>IFERROR(VLOOKUP($D118,qboIS!$A$7:$O$112,COLUMN(O118)-2,FALSE),"")</f>
        <v/>
      </c>
      <c r="P118" s="60" t="str">
        <f>IFERROR(VLOOKUP($D118,qboIS!$A$7:$O$112,COLUMN(P118)-2,FALSE),"")</f>
        <v/>
      </c>
      <c r="Q118" s="60" t="str">
        <f>IFERROR(VLOOKUP($D118,qboIS!$A$7:$O$112,COLUMN(Q118)-2,FALSE),"")</f>
        <v/>
      </c>
      <c r="R118" s="60"/>
      <c r="S118" s="60">
        <f>IF(S$1&lt;=DataSettings!$B$3,SUM($E118:E118),"")</f>
        <v>0</v>
      </c>
      <c r="T118" s="60">
        <f>IF(T$1&lt;=DataSettings!$B$3,SUM($E118:F118),"")</f>
        <v>0</v>
      </c>
      <c r="U118" s="60">
        <f>IF(U$1&lt;=DataSettings!$B$3,SUM($E118:G118),"")</f>
        <v>0</v>
      </c>
      <c r="V118" s="60">
        <f>IF(V$1&lt;=DataSettings!$B$3,SUM($E118:H118),"")</f>
        <v>0</v>
      </c>
      <c r="W118" s="60">
        <f>IF(W$1&lt;=DataSettings!$B$3,SUM($E118:I118),"")</f>
        <v>0</v>
      </c>
      <c r="X118" s="60">
        <f>IF(X$1&lt;=DataSettings!$B$3,SUM($E118:J118),"")</f>
        <v>2100</v>
      </c>
      <c r="Y118" s="60">
        <f>IF(Y$1&lt;=DataSettings!$B$3,SUM($E118:K118),"")</f>
        <v>2100</v>
      </c>
      <c r="Z118" s="60">
        <f>IF(Z$1&lt;=DataSettings!$B$3,SUM($E118:L118),"")</f>
        <v>2100</v>
      </c>
      <c r="AA118" s="60">
        <f>IF(AA$1&lt;=DataSettings!$B$3,SUM($E118:M118),"")</f>
        <v>2100</v>
      </c>
      <c r="AB118" s="60" t="str">
        <f>IF(AB$1&lt;=DataSettings!$B$3,SUM($E118:N118),"")</f>
        <v/>
      </c>
      <c r="AC118" s="60" t="str">
        <f>IF(AC$1&lt;=DataSettings!$B$3,SUM($E118:O118),"")</f>
        <v/>
      </c>
      <c r="AD118" s="60" t="str">
        <f>IF(AD$1&lt;=DataSettings!$B$3,SUM($E118:P118),"")</f>
        <v/>
      </c>
      <c r="AE118" s="60" t="str">
        <f>IF(AE$1&lt;=DataSettings!$B$3,SUM($E118:Q118),"")</f>
        <v/>
      </c>
    </row>
    <row r="119" hidden="1">
      <c r="A119" s="41" t="s">
        <v>18</v>
      </c>
      <c r="B119" s="41" t="s">
        <v>35</v>
      </c>
      <c r="C119" s="41" t="s">
        <v>24</v>
      </c>
      <c r="D119" s="59" t="s">
        <v>79</v>
      </c>
      <c r="E119" s="60" t="str">
        <f>IFERROR(VLOOKUP($D119,qboIS!$A$7:$O$112,COLUMN(E119)-2,FALSE),"")</f>
        <v/>
      </c>
      <c r="F119" s="60" t="str">
        <f>IFERROR(VLOOKUP($D119,qboIS!$A$7:$O$112,COLUMN(F119)-2,FALSE),"")</f>
        <v/>
      </c>
      <c r="G119" s="60" t="str">
        <f>IFERROR(VLOOKUP($D119,qboIS!$A$7:$O$112,COLUMN(G119)-2,FALSE),"")</f>
        <v/>
      </c>
      <c r="H119" s="60" t="str">
        <f>IFERROR(VLOOKUP($D119,qboIS!$A$7:$O$112,COLUMN(H119)-2,FALSE),"")</f>
        <v/>
      </c>
      <c r="I119" s="60" t="str">
        <f>IFERROR(VLOOKUP($D119,qboIS!$A$7:$O$112,COLUMN(I119)-2,FALSE),"")</f>
        <v/>
      </c>
      <c r="J119" s="60" t="str">
        <f>IFERROR(VLOOKUP($D119,qboIS!$A$7:$O$112,COLUMN(J119)-2,FALSE),"")</f>
        <v/>
      </c>
      <c r="K119" s="60" t="str">
        <f>IFERROR(VLOOKUP($D119,qboIS!$A$7:$O$112,COLUMN(K119)-2,FALSE),"")</f>
        <v/>
      </c>
      <c r="L119" s="60" t="str">
        <f>IFERROR(VLOOKUP($D119,qboIS!$A$7:$O$112,COLUMN(L119)-2,FALSE),"")</f>
        <v/>
      </c>
      <c r="M119" s="60" t="str">
        <f>IFERROR(VLOOKUP($D119,qboIS!$A$7:$O$112,COLUMN(M119)-2,FALSE),"")</f>
        <v/>
      </c>
      <c r="N119" s="60" t="str">
        <f>IFERROR(VLOOKUP($D119,qboIS!$A$7:$O$112,COLUMN(N119)-2,FALSE),"")</f>
        <v/>
      </c>
      <c r="O119" s="60" t="str">
        <f>IFERROR(VLOOKUP($D119,qboIS!$A$7:$O$112,COLUMN(O119)-2,FALSE),"")</f>
        <v/>
      </c>
      <c r="P119" s="60" t="str">
        <f>IFERROR(VLOOKUP($D119,qboIS!$A$7:$O$112,COLUMN(P119)-2,FALSE),"")</f>
        <v/>
      </c>
      <c r="Q119" s="60" t="str">
        <f>IFERROR(VLOOKUP($D119,qboIS!$A$7:$O$112,COLUMN(Q119)-2,FALSE),"")</f>
        <v/>
      </c>
      <c r="R119" s="60"/>
      <c r="S119" s="60">
        <f>IF(S$1&lt;=DataSettings!$B$3,SUM($E119:E119),"")</f>
        <v>0</v>
      </c>
      <c r="T119" s="60">
        <f>IF(T$1&lt;=DataSettings!$B$3,SUM($E119:F119),"")</f>
        <v>0</v>
      </c>
      <c r="U119" s="60">
        <f>IF(U$1&lt;=DataSettings!$B$3,SUM($E119:G119),"")</f>
        <v>0</v>
      </c>
      <c r="V119" s="60">
        <f>IF(V$1&lt;=DataSettings!$B$3,SUM($E119:H119),"")</f>
        <v>0</v>
      </c>
      <c r="W119" s="60">
        <f>IF(W$1&lt;=DataSettings!$B$3,SUM($E119:I119),"")</f>
        <v>0</v>
      </c>
      <c r="X119" s="60">
        <f>IF(X$1&lt;=DataSettings!$B$3,SUM($E119:J119),"")</f>
        <v>0</v>
      </c>
      <c r="Y119" s="60">
        <f>IF(Y$1&lt;=DataSettings!$B$3,SUM($E119:K119),"")</f>
        <v>0</v>
      </c>
      <c r="Z119" s="60">
        <f>IF(Z$1&lt;=DataSettings!$B$3,SUM($E119:L119),"")</f>
        <v>0</v>
      </c>
      <c r="AA119" s="60">
        <f>IF(AA$1&lt;=DataSettings!$B$3,SUM($E119:M119),"")</f>
        <v>0</v>
      </c>
      <c r="AB119" s="60" t="str">
        <f>IF(AB$1&lt;=DataSettings!$B$3,SUM($E119:N119),"")</f>
        <v/>
      </c>
      <c r="AC119" s="60" t="str">
        <f>IF(AC$1&lt;=DataSettings!$B$3,SUM($E119:O119),"")</f>
        <v/>
      </c>
      <c r="AD119" s="60" t="str">
        <f>IF(AD$1&lt;=DataSettings!$B$3,SUM($E119:P119),"")</f>
        <v/>
      </c>
      <c r="AE119" s="60" t="str">
        <f>IF(AE$1&lt;=DataSettings!$B$3,SUM($E119:Q119),"")</f>
        <v/>
      </c>
    </row>
    <row r="120" hidden="1">
      <c r="A120" s="41" t="s">
        <v>18</v>
      </c>
      <c r="B120" s="41" t="s">
        <v>35</v>
      </c>
      <c r="C120" s="41" t="s">
        <v>24</v>
      </c>
      <c r="D120" s="59" t="s">
        <v>80</v>
      </c>
      <c r="E120" s="60" t="str">
        <f>IFERROR(VLOOKUP($D120,qboIS!$A$7:$O$112,COLUMN(E120)-2,FALSE),"")</f>
        <v/>
      </c>
      <c r="F120" s="60" t="str">
        <f>IFERROR(VLOOKUP($D120,qboIS!$A$7:$O$112,COLUMN(F120)-2,FALSE),"")</f>
        <v/>
      </c>
      <c r="G120" s="60" t="str">
        <f>IFERROR(VLOOKUP($D120,qboIS!$A$7:$O$112,COLUMN(G120)-2,FALSE),"")</f>
        <v/>
      </c>
      <c r="H120" s="60" t="str">
        <f>IFERROR(VLOOKUP($D120,qboIS!$A$7:$O$112,COLUMN(H120)-2,FALSE),"")</f>
        <v/>
      </c>
      <c r="I120" s="60" t="str">
        <f>IFERROR(VLOOKUP($D120,qboIS!$A$7:$O$112,COLUMN(I120)-2,FALSE),"")</f>
        <v/>
      </c>
      <c r="J120" s="60" t="str">
        <f>IFERROR(VLOOKUP($D120,qboIS!$A$7:$O$112,COLUMN(J120)-2,FALSE),"")</f>
        <v/>
      </c>
      <c r="K120" s="60" t="str">
        <f>IFERROR(VLOOKUP($D120,qboIS!$A$7:$O$112,COLUMN(K120)-2,FALSE),"")</f>
        <v/>
      </c>
      <c r="L120" s="60" t="str">
        <f>IFERROR(VLOOKUP($D120,qboIS!$A$7:$O$112,COLUMN(L120)-2,FALSE),"")</f>
        <v/>
      </c>
      <c r="M120" s="60" t="str">
        <f>IFERROR(VLOOKUP($D120,qboIS!$A$7:$O$112,COLUMN(M120)-2,FALSE),"")</f>
        <v/>
      </c>
      <c r="N120" s="60" t="str">
        <f>IFERROR(VLOOKUP($D120,qboIS!$A$7:$O$112,COLUMN(N120)-2,FALSE),"")</f>
        <v/>
      </c>
      <c r="O120" s="60" t="str">
        <f>IFERROR(VLOOKUP($D120,qboIS!$A$7:$O$112,COLUMN(O120)-2,FALSE),"")</f>
        <v/>
      </c>
      <c r="P120" s="60" t="str">
        <f>IFERROR(VLOOKUP($D120,qboIS!$A$7:$O$112,COLUMN(P120)-2,FALSE),"")</f>
        <v/>
      </c>
      <c r="Q120" s="60" t="str">
        <f>IFERROR(VLOOKUP($D120,qboIS!$A$7:$O$112,COLUMN(Q120)-2,FALSE),"")</f>
        <v/>
      </c>
      <c r="R120" s="60"/>
      <c r="S120" s="60">
        <f>IF(S$1&lt;=DataSettings!$B$3,SUM($E120:E120),"")</f>
        <v>0</v>
      </c>
      <c r="T120" s="60">
        <f>IF(T$1&lt;=DataSettings!$B$3,SUM($E120:F120),"")</f>
        <v>0</v>
      </c>
      <c r="U120" s="60">
        <f>IF(U$1&lt;=DataSettings!$B$3,SUM($E120:G120),"")</f>
        <v>0</v>
      </c>
      <c r="V120" s="60">
        <f>IF(V$1&lt;=DataSettings!$B$3,SUM($E120:H120),"")</f>
        <v>0</v>
      </c>
      <c r="W120" s="60">
        <f>IF(W$1&lt;=DataSettings!$B$3,SUM($E120:I120),"")</f>
        <v>0</v>
      </c>
      <c r="X120" s="60">
        <f>IF(X$1&lt;=DataSettings!$B$3,SUM($E120:J120),"")</f>
        <v>0</v>
      </c>
      <c r="Y120" s="60">
        <f>IF(Y$1&lt;=DataSettings!$B$3,SUM($E120:K120),"")</f>
        <v>0</v>
      </c>
      <c r="Z120" s="60">
        <f>IF(Z$1&lt;=DataSettings!$B$3,SUM($E120:L120),"")</f>
        <v>0</v>
      </c>
      <c r="AA120" s="60">
        <f>IF(AA$1&lt;=DataSettings!$B$3,SUM($E120:M120),"")</f>
        <v>0</v>
      </c>
      <c r="AB120" s="60" t="str">
        <f>IF(AB$1&lt;=DataSettings!$B$3,SUM($E120:N120),"")</f>
        <v/>
      </c>
      <c r="AC120" s="60" t="str">
        <f>IF(AC$1&lt;=DataSettings!$B$3,SUM($E120:O120),"")</f>
        <v/>
      </c>
      <c r="AD120" s="60" t="str">
        <f>IF(AD$1&lt;=DataSettings!$B$3,SUM($E120:P120),"")</f>
        <v/>
      </c>
      <c r="AE120" s="60" t="str">
        <f>IF(AE$1&lt;=DataSettings!$B$3,SUM($E120:Q120),"")</f>
        <v/>
      </c>
    </row>
    <row r="121" hidden="1">
      <c r="A121" s="41" t="s">
        <v>18</v>
      </c>
      <c r="B121" s="41" t="s">
        <v>35</v>
      </c>
      <c r="C121" s="41" t="s">
        <v>28</v>
      </c>
      <c r="D121" s="59" t="s">
        <v>81</v>
      </c>
      <c r="E121" s="60">
        <f>IFERROR(VLOOKUP($D121,qboIS!$A$7:$O$112,COLUMN(E121)-2,FALSE),"")</f>
        <v>3327.44</v>
      </c>
      <c r="F121" s="60">
        <f>IFERROR(VLOOKUP($D121,qboIS!$A$7:$O$112,COLUMN(F121)-2,FALSE),"")</f>
        <v>5228.55</v>
      </c>
      <c r="G121" s="60">
        <f>IFERROR(VLOOKUP($D121,qboIS!$A$7:$O$112,COLUMN(G121)-2,FALSE),"")</f>
        <v>2228.55</v>
      </c>
      <c r="H121" s="60">
        <f>IFERROR(VLOOKUP($D121,qboIS!$A$7:$O$112,COLUMN(H121)-2,FALSE),"")</f>
        <v>5701.56</v>
      </c>
      <c r="I121" s="60">
        <f>IFERROR(VLOOKUP($D121,qboIS!$A$7:$O$112,COLUMN(I121)-2,FALSE),"")</f>
        <v>1999.74</v>
      </c>
      <c r="J121" s="60">
        <f>IFERROR(VLOOKUP($D121,qboIS!$A$7:$O$112,COLUMN(J121)-2,FALSE),"")</f>
        <v>7319.58</v>
      </c>
      <c r="K121" s="60">
        <f>IFERROR(VLOOKUP($D121,qboIS!$A$7:$O$112,COLUMN(K121)-2,FALSE),"")</f>
        <v>2089.37</v>
      </c>
      <c r="L121" s="60">
        <f>IFERROR(VLOOKUP($D121,qboIS!$A$7:$O$112,COLUMN(L121)-2,FALSE),"")</f>
        <v>19451.93</v>
      </c>
      <c r="M121" s="60">
        <f>IFERROR(VLOOKUP($D121,qboIS!$A$7:$O$112,COLUMN(M121)-2,FALSE),"")</f>
        <v>25099</v>
      </c>
      <c r="N121" s="60">
        <f>IFERROR(VLOOKUP($D121,qboIS!$A$7:$O$112,COLUMN(N121)-2,FALSE),"")</f>
        <v>72445.72</v>
      </c>
      <c r="O121" s="60" t="str">
        <f>IFERROR(VLOOKUP($D121,qboIS!$A$7:$O$112,COLUMN(O121)-2,FALSE),"")</f>
        <v/>
      </c>
      <c r="P121" s="60" t="str">
        <f>IFERROR(VLOOKUP($D121,qboIS!$A$7:$O$112,COLUMN(P121)-2,FALSE),"")</f>
        <v/>
      </c>
      <c r="Q121" s="60" t="str">
        <f>IFERROR(VLOOKUP($D121,qboIS!$A$7:$O$112,COLUMN(Q121)-2,FALSE),"")</f>
        <v/>
      </c>
      <c r="R121" s="60"/>
      <c r="S121" s="60">
        <f>IF(S$1&lt;=DataSettings!$B$3,SUM($E121:E121),"")</f>
        <v>3327.44</v>
      </c>
      <c r="T121" s="60">
        <f>IF(T$1&lt;=DataSettings!$B$3,SUM($E121:F121),"")</f>
        <v>8555.99</v>
      </c>
      <c r="U121" s="60">
        <f>IF(U$1&lt;=DataSettings!$B$3,SUM($E121:G121),"")</f>
        <v>10784.54</v>
      </c>
      <c r="V121" s="60">
        <f>IF(V$1&lt;=DataSettings!$B$3,SUM($E121:H121),"")</f>
        <v>16486.1</v>
      </c>
      <c r="W121" s="60">
        <f>IF(W$1&lt;=DataSettings!$B$3,SUM($E121:I121),"")</f>
        <v>18485.84</v>
      </c>
      <c r="X121" s="60">
        <f>IF(X$1&lt;=DataSettings!$B$3,SUM($E121:J121),"")</f>
        <v>25805.42</v>
      </c>
      <c r="Y121" s="60">
        <f>IF(Y$1&lt;=DataSettings!$B$3,SUM($E121:K121),"")</f>
        <v>27894.79</v>
      </c>
      <c r="Z121" s="60">
        <f>IF(Z$1&lt;=DataSettings!$B$3,SUM($E121:L121),"")</f>
        <v>47346.72</v>
      </c>
      <c r="AA121" s="60">
        <f>IF(AA$1&lt;=DataSettings!$B$3,SUM($E121:M121),"")</f>
        <v>72445.72</v>
      </c>
      <c r="AB121" s="60" t="str">
        <f>IF(AB$1&lt;=DataSettings!$B$3,SUM($E121:N121),"")</f>
        <v/>
      </c>
      <c r="AC121" s="60" t="str">
        <f>IF(AC$1&lt;=DataSettings!$B$3,SUM($E121:O121),"")</f>
        <v/>
      </c>
      <c r="AD121" s="60" t="str">
        <f>IF(AD$1&lt;=DataSettings!$B$3,SUM($E121:P121),"")</f>
        <v/>
      </c>
      <c r="AE121" s="60" t="str">
        <f>IF(AE$1&lt;=DataSettings!$B$3,SUM($E121:Q121),"")</f>
        <v/>
      </c>
    </row>
    <row r="122" hidden="1">
      <c r="A122" s="41" t="s">
        <v>18</v>
      </c>
      <c r="B122" s="41" t="s">
        <v>35</v>
      </c>
      <c r="C122" s="41" t="s">
        <v>28</v>
      </c>
      <c r="D122" s="59" t="s">
        <v>82</v>
      </c>
      <c r="E122" s="60">
        <f>IFERROR(VLOOKUP($D122,qboIS!$A$7:$O$112,COLUMN(E122)-2,FALSE),"")</f>
        <v>105.21</v>
      </c>
      <c r="F122" s="60">
        <f>IFERROR(VLOOKUP($D122,qboIS!$A$7:$O$112,COLUMN(F122)-2,FALSE),"")</f>
        <v>133.13</v>
      </c>
      <c r="G122" s="60">
        <f>IFERROR(VLOOKUP($D122,qboIS!$A$7:$O$112,COLUMN(G122)-2,FALSE),"")</f>
        <v>939.56</v>
      </c>
      <c r="H122" s="60">
        <f>IFERROR(VLOOKUP($D122,qboIS!$A$7:$O$112,COLUMN(H122)-2,FALSE),"")</f>
        <v>1740.7</v>
      </c>
      <c r="I122" s="60">
        <f>IFERROR(VLOOKUP($D122,qboIS!$A$7:$O$112,COLUMN(I122)-2,FALSE),"")</f>
        <v>934.31</v>
      </c>
      <c r="J122" s="60">
        <f>IFERROR(VLOOKUP($D122,qboIS!$A$7:$O$112,COLUMN(J122)-2,FALSE),"")</f>
        <v>234.51</v>
      </c>
      <c r="K122" s="60">
        <f>IFERROR(VLOOKUP($D122,qboIS!$A$7:$O$112,COLUMN(K122)-2,FALSE),"")</f>
        <v>189.13</v>
      </c>
      <c r="L122" s="60">
        <f>IFERROR(VLOOKUP($D122,qboIS!$A$7:$O$112,COLUMN(L122)-2,FALSE),"")</f>
        <v>518.2</v>
      </c>
      <c r="M122" s="60">
        <f>IFERROR(VLOOKUP($D122,qboIS!$A$7:$O$112,COLUMN(M122)-2,FALSE),"")</f>
        <v>2090.25</v>
      </c>
      <c r="N122" s="60">
        <f>IFERROR(VLOOKUP($D122,qboIS!$A$7:$O$112,COLUMN(N122)-2,FALSE),"")</f>
        <v>6885</v>
      </c>
      <c r="O122" s="60" t="str">
        <f>IFERROR(VLOOKUP($D122,qboIS!$A$7:$O$112,COLUMN(O122)-2,FALSE),"")</f>
        <v/>
      </c>
      <c r="P122" s="60" t="str">
        <f>IFERROR(VLOOKUP($D122,qboIS!$A$7:$O$112,COLUMN(P122)-2,FALSE),"")</f>
        <v/>
      </c>
      <c r="Q122" s="60" t="str">
        <f>IFERROR(VLOOKUP($D122,qboIS!$A$7:$O$112,COLUMN(Q122)-2,FALSE),"")</f>
        <v/>
      </c>
      <c r="R122" s="60"/>
      <c r="S122" s="60">
        <f>IF(S$1&lt;=DataSettings!$B$3,SUM($E122:E122),"")</f>
        <v>105.21</v>
      </c>
      <c r="T122" s="60">
        <f>IF(T$1&lt;=DataSettings!$B$3,SUM($E122:F122),"")</f>
        <v>238.34</v>
      </c>
      <c r="U122" s="60">
        <f>IF(U$1&lt;=DataSettings!$B$3,SUM($E122:G122),"")</f>
        <v>1177.9</v>
      </c>
      <c r="V122" s="60">
        <f>IF(V$1&lt;=DataSettings!$B$3,SUM($E122:H122),"")</f>
        <v>2918.6</v>
      </c>
      <c r="W122" s="60">
        <f>IF(W$1&lt;=DataSettings!$B$3,SUM($E122:I122),"")</f>
        <v>3852.91</v>
      </c>
      <c r="X122" s="60">
        <f>IF(X$1&lt;=DataSettings!$B$3,SUM($E122:J122),"")</f>
        <v>4087.42</v>
      </c>
      <c r="Y122" s="60">
        <f>IF(Y$1&lt;=DataSettings!$B$3,SUM($E122:K122),"")</f>
        <v>4276.55</v>
      </c>
      <c r="Z122" s="60">
        <f>IF(Z$1&lt;=DataSettings!$B$3,SUM($E122:L122),"")</f>
        <v>4794.75</v>
      </c>
      <c r="AA122" s="60">
        <f>IF(AA$1&lt;=DataSettings!$B$3,SUM($E122:M122),"")</f>
        <v>6885</v>
      </c>
      <c r="AB122" s="60" t="str">
        <f>IF(AB$1&lt;=DataSettings!$B$3,SUM($E122:N122),"")</f>
        <v/>
      </c>
      <c r="AC122" s="60" t="str">
        <f>IF(AC$1&lt;=DataSettings!$B$3,SUM($E122:O122),"")</f>
        <v/>
      </c>
      <c r="AD122" s="60" t="str">
        <f>IF(AD$1&lt;=DataSettings!$B$3,SUM($E122:P122),"")</f>
        <v/>
      </c>
      <c r="AE122" s="60" t="str">
        <f>IF(AE$1&lt;=DataSettings!$B$3,SUM($E122:Q122),"")</f>
        <v/>
      </c>
    </row>
    <row r="123" hidden="1">
      <c r="A123" s="41" t="s">
        <v>18</v>
      </c>
      <c r="B123" s="41" t="s">
        <v>35</v>
      </c>
      <c r="C123" s="41" t="s">
        <v>29</v>
      </c>
      <c r="D123" s="59" t="s">
        <v>83</v>
      </c>
      <c r="E123" s="60">
        <f>IFERROR(VLOOKUP($D123,qboIS!$A$7:$O$112,COLUMN(E123)-2,FALSE),"")</f>
        <v>38.04</v>
      </c>
      <c r="F123" s="60">
        <f>IFERROR(VLOOKUP($D123,qboIS!$A$7:$O$112,COLUMN(F123)-2,FALSE),"")</f>
        <v>59.95</v>
      </c>
      <c r="G123" s="60">
        <f>IFERROR(VLOOKUP($D123,qboIS!$A$7:$O$112,COLUMN(G123)-2,FALSE),"")</f>
        <v>168.6</v>
      </c>
      <c r="H123" s="60">
        <f>IFERROR(VLOOKUP($D123,qboIS!$A$7:$O$112,COLUMN(H123)-2,FALSE),"")</f>
        <v>283.59</v>
      </c>
      <c r="I123" s="60">
        <f>IFERROR(VLOOKUP($D123,qboIS!$A$7:$O$112,COLUMN(I123)-2,FALSE),"")</f>
        <v>123</v>
      </c>
      <c r="J123" s="60">
        <f>IFERROR(VLOOKUP($D123,qboIS!$A$7:$O$112,COLUMN(J123)-2,FALSE),"")</f>
        <v>1138.13</v>
      </c>
      <c r="K123" s="60">
        <f>IFERROR(VLOOKUP($D123,qboIS!$A$7:$O$112,COLUMN(K123)-2,FALSE),"")</f>
        <v>231.96</v>
      </c>
      <c r="L123" s="60" t="str">
        <f>IFERROR(VLOOKUP($D123,qboIS!$A$7:$O$112,COLUMN(L123)-2,FALSE),"")</f>
        <v/>
      </c>
      <c r="M123" s="60">
        <f>IFERROR(VLOOKUP($D123,qboIS!$A$7:$O$112,COLUMN(M123)-2,FALSE),"")</f>
        <v>339.47</v>
      </c>
      <c r="N123" s="60">
        <f>IFERROR(VLOOKUP($D123,qboIS!$A$7:$O$112,COLUMN(N123)-2,FALSE),"")</f>
        <v>2382.74</v>
      </c>
      <c r="O123" s="60" t="str">
        <f>IFERROR(VLOOKUP($D123,qboIS!$A$7:$O$112,COLUMN(O123)-2,FALSE),"")</f>
        <v/>
      </c>
      <c r="P123" s="60" t="str">
        <f>IFERROR(VLOOKUP($D123,qboIS!$A$7:$O$112,COLUMN(P123)-2,FALSE),"")</f>
        <v/>
      </c>
      <c r="Q123" s="60" t="str">
        <f>IFERROR(VLOOKUP($D123,qboIS!$A$7:$O$112,COLUMN(Q123)-2,FALSE),"")</f>
        <v/>
      </c>
      <c r="R123" s="60"/>
      <c r="S123" s="60">
        <f>IF(S$1&lt;=DataSettings!$B$3,SUM($E123:E123),"")</f>
        <v>38.04</v>
      </c>
      <c r="T123" s="60">
        <f>IF(T$1&lt;=DataSettings!$B$3,SUM($E123:F123),"")</f>
        <v>97.99</v>
      </c>
      <c r="U123" s="60">
        <f>IF(U$1&lt;=DataSettings!$B$3,SUM($E123:G123),"")</f>
        <v>266.59</v>
      </c>
      <c r="V123" s="60">
        <f>IF(V$1&lt;=DataSettings!$B$3,SUM($E123:H123),"")</f>
        <v>550.18</v>
      </c>
      <c r="W123" s="60">
        <f>IF(W$1&lt;=DataSettings!$B$3,SUM($E123:I123),"")</f>
        <v>673.18</v>
      </c>
      <c r="X123" s="60">
        <f>IF(X$1&lt;=DataSettings!$B$3,SUM($E123:J123),"")</f>
        <v>1811.31</v>
      </c>
      <c r="Y123" s="60">
        <f>IF(Y$1&lt;=DataSettings!$B$3,SUM($E123:K123),"")</f>
        <v>2043.27</v>
      </c>
      <c r="Z123" s="60">
        <f>IF(Z$1&lt;=DataSettings!$B$3,SUM($E123:L123),"")</f>
        <v>2043.27</v>
      </c>
      <c r="AA123" s="60">
        <f>IF(AA$1&lt;=DataSettings!$B$3,SUM($E123:M123),"")</f>
        <v>2382.74</v>
      </c>
      <c r="AB123" s="60" t="str">
        <f>IF(AB$1&lt;=DataSettings!$B$3,SUM($E123:N123),"")</f>
        <v/>
      </c>
      <c r="AC123" s="60" t="str">
        <f>IF(AC$1&lt;=DataSettings!$B$3,SUM($E123:O123),"")</f>
        <v/>
      </c>
      <c r="AD123" s="60" t="str">
        <f>IF(AD$1&lt;=DataSettings!$B$3,SUM($E123:P123),"")</f>
        <v/>
      </c>
      <c r="AE123" s="60" t="str">
        <f>IF(AE$1&lt;=DataSettings!$B$3,SUM($E123:Q123),"")</f>
        <v/>
      </c>
    </row>
    <row r="124" hidden="1">
      <c r="A124" s="41" t="s">
        <v>18</v>
      </c>
      <c r="B124" s="41" t="s">
        <v>35</v>
      </c>
      <c r="C124" s="41" t="s">
        <v>28</v>
      </c>
      <c r="D124" s="59" t="s">
        <v>84</v>
      </c>
      <c r="E124" s="60">
        <f>IFERROR(VLOOKUP($D124,qboIS!$A$7:$O$112,COLUMN(E124)-2,FALSE),"")</f>
        <v>1925</v>
      </c>
      <c r="F124" s="60">
        <f>IFERROR(VLOOKUP($D124,qboIS!$A$7:$O$112,COLUMN(F124)-2,FALSE),"")</f>
        <v>2285</v>
      </c>
      <c r="G124" s="60">
        <f>IFERROR(VLOOKUP($D124,qboIS!$A$7:$O$112,COLUMN(G124)-2,FALSE),"")</f>
        <v>2669.11</v>
      </c>
      <c r="H124" s="60">
        <f>IFERROR(VLOOKUP($D124,qboIS!$A$7:$O$112,COLUMN(H124)-2,FALSE),"")</f>
        <v>1377.5</v>
      </c>
      <c r="I124" s="60">
        <f>IFERROR(VLOOKUP($D124,qboIS!$A$7:$O$112,COLUMN(I124)-2,FALSE),"")</f>
        <v>2745.54</v>
      </c>
      <c r="J124" s="60">
        <f>IFERROR(VLOOKUP($D124,qboIS!$A$7:$O$112,COLUMN(J124)-2,FALSE),"")</f>
        <v>423.5</v>
      </c>
      <c r="K124" s="60">
        <f>IFERROR(VLOOKUP($D124,qboIS!$A$7:$O$112,COLUMN(K124)-2,FALSE),"")</f>
        <v>3212</v>
      </c>
      <c r="L124" s="60">
        <f>IFERROR(VLOOKUP($D124,qboIS!$A$7:$O$112,COLUMN(L124)-2,FALSE),"")</f>
        <v>430</v>
      </c>
      <c r="M124" s="60">
        <f>IFERROR(VLOOKUP($D124,qboIS!$A$7:$O$112,COLUMN(M124)-2,FALSE),"")</f>
        <v>346.5</v>
      </c>
      <c r="N124" s="60">
        <f>IFERROR(VLOOKUP($D124,qboIS!$A$7:$O$112,COLUMN(N124)-2,FALSE),"")</f>
        <v>15414.15</v>
      </c>
      <c r="O124" s="60" t="str">
        <f>IFERROR(VLOOKUP($D124,qboIS!$A$7:$O$112,COLUMN(O124)-2,FALSE),"")</f>
        <v/>
      </c>
      <c r="P124" s="60" t="str">
        <f>IFERROR(VLOOKUP($D124,qboIS!$A$7:$O$112,COLUMN(P124)-2,FALSE),"")</f>
        <v/>
      </c>
      <c r="Q124" s="60" t="str">
        <f>IFERROR(VLOOKUP($D124,qboIS!$A$7:$O$112,COLUMN(Q124)-2,FALSE),"")</f>
        <v/>
      </c>
      <c r="R124" s="60"/>
      <c r="S124" s="60">
        <f>IF(S$1&lt;=DataSettings!$B$3,SUM($E124:E124),"")</f>
        <v>1925</v>
      </c>
      <c r="T124" s="60">
        <f>IF(T$1&lt;=DataSettings!$B$3,SUM($E124:F124),"")</f>
        <v>4210</v>
      </c>
      <c r="U124" s="60">
        <f>IF(U$1&lt;=DataSettings!$B$3,SUM($E124:G124),"")</f>
        <v>6879.11</v>
      </c>
      <c r="V124" s="60">
        <f>IF(V$1&lt;=DataSettings!$B$3,SUM($E124:H124),"")</f>
        <v>8256.61</v>
      </c>
      <c r="W124" s="60">
        <f>IF(W$1&lt;=DataSettings!$B$3,SUM($E124:I124),"")</f>
        <v>11002.15</v>
      </c>
      <c r="X124" s="60">
        <f>IF(X$1&lt;=DataSettings!$B$3,SUM($E124:J124),"")</f>
        <v>11425.65</v>
      </c>
      <c r="Y124" s="60">
        <f>IF(Y$1&lt;=DataSettings!$B$3,SUM($E124:K124),"")</f>
        <v>14637.65</v>
      </c>
      <c r="Z124" s="60">
        <f>IF(Z$1&lt;=DataSettings!$B$3,SUM($E124:L124),"")</f>
        <v>15067.65</v>
      </c>
      <c r="AA124" s="60">
        <f>IF(AA$1&lt;=DataSettings!$B$3,SUM($E124:M124),"")</f>
        <v>15414.15</v>
      </c>
      <c r="AB124" s="60" t="str">
        <f>IF(AB$1&lt;=DataSettings!$B$3,SUM($E124:N124),"")</f>
        <v/>
      </c>
      <c r="AC124" s="60" t="str">
        <f>IF(AC$1&lt;=DataSettings!$B$3,SUM($E124:O124),"")</f>
        <v/>
      </c>
      <c r="AD124" s="60" t="str">
        <f>IF(AD$1&lt;=DataSettings!$B$3,SUM($E124:P124),"")</f>
        <v/>
      </c>
      <c r="AE124" s="60" t="str">
        <f>IF(AE$1&lt;=DataSettings!$B$3,SUM($E124:Q124),"")</f>
        <v/>
      </c>
    </row>
    <row r="125" hidden="1">
      <c r="A125" s="41" t="s">
        <v>18</v>
      </c>
      <c r="B125" s="41" t="s">
        <v>35</v>
      </c>
      <c r="C125" s="41" t="s">
        <v>28</v>
      </c>
      <c r="D125" s="59" t="s">
        <v>85</v>
      </c>
      <c r="E125" s="60">
        <f>IFERROR(VLOOKUP($D125,qboIS!$A$7:$O$112,COLUMN(E125)-2,FALSE),"")</f>
        <v>412.5</v>
      </c>
      <c r="F125" s="60">
        <f>IFERROR(VLOOKUP($D125,qboIS!$A$7:$O$112,COLUMN(F125)-2,FALSE),"")</f>
        <v>2200</v>
      </c>
      <c r="G125" s="60">
        <f>IFERROR(VLOOKUP($D125,qboIS!$A$7:$O$112,COLUMN(G125)-2,FALSE),"")</f>
        <v>2983.8</v>
      </c>
      <c r="H125" s="60">
        <f>IFERROR(VLOOKUP($D125,qboIS!$A$7:$O$112,COLUMN(H125)-2,FALSE),"")</f>
        <v>6184.39</v>
      </c>
      <c r="I125" s="60">
        <f>IFERROR(VLOOKUP($D125,qboIS!$A$7:$O$112,COLUMN(I125)-2,FALSE),"")</f>
        <v>3662.74</v>
      </c>
      <c r="J125" s="60">
        <f>IFERROR(VLOOKUP($D125,qboIS!$A$7:$O$112,COLUMN(J125)-2,FALSE),"")</f>
        <v>3300</v>
      </c>
      <c r="K125" s="60">
        <f>IFERROR(VLOOKUP($D125,qboIS!$A$7:$O$112,COLUMN(K125)-2,FALSE),"")</f>
        <v>3300</v>
      </c>
      <c r="L125" s="60">
        <f>IFERROR(VLOOKUP($D125,qboIS!$A$7:$O$112,COLUMN(L125)-2,FALSE),"")</f>
        <v>1650</v>
      </c>
      <c r="M125" s="60">
        <f>IFERROR(VLOOKUP($D125,qboIS!$A$7:$O$112,COLUMN(M125)-2,FALSE),"")</f>
        <v>6105</v>
      </c>
      <c r="N125" s="60">
        <f>IFERROR(VLOOKUP($D125,qboIS!$A$7:$O$112,COLUMN(N125)-2,FALSE),"")</f>
        <v>29798.43</v>
      </c>
      <c r="O125" s="60" t="str">
        <f>IFERROR(VLOOKUP($D125,qboIS!$A$7:$O$112,COLUMN(O125)-2,FALSE),"")</f>
        <v/>
      </c>
      <c r="P125" s="60" t="str">
        <f>IFERROR(VLOOKUP($D125,qboIS!$A$7:$O$112,COLUMN(P125)-2,FALSE),"")</f>
        <v/>
      </c>
      <c r="Q125" s="60" t="str">
        <f>IFERROR(VLOOKUP($D125,qboIS!$A$7:$O$112,COLUMN(Q125)-2,FALSE),"")</f>
        <v/>
      </c>
      <c r="R125" s="60"/>
      <c r="S125" s="60">
        <f>IF(S$1&lt;=DataSettings!$B$3,SUM($E125:E125),"")</f>
        <v>412.5</v>
      </c>
      <c r="T125" s="60">
        <f>IF(T$1&lt;=DataSettings!$B$3,SUM($E125:F125),"")</f>
        <v>2612.5</v>
      </c>
      <c r="U125" s="60">
        <f>IF(U$1&lt;=DataSettings!$B$3,SUM($E125:G125),"")</f>
        <v>5596.3</v>
      </c>
      <c r="V125" s="60">
        <f>IF(V$1&lt;=DataSettings!$B$3,SUM($E125:H125),"")</f>
        <v>11780.69</v>
      </c>
      <c r="W125" s="60">
        <f>IF(W$1&lt;=DataSettings!$B$3,SUM($E125:I125),"")</f>
        <v>15443.43</v>
      </c>
      <c r="X125" s="60">
        <f>IF(X$1&lt;=DataSettings!$B$3,SUM($E125:J125),"")</f>
        <v>18743.43</v>
      </c>
      <c r="Y125" s="60">
        <f>IF(Y$1&lt;=DataSettings!$B$3,SUM($E125:K125),"")</f>
        <v>22043.43</v>
      </c>
      <c r="Z125" s="60">
        <f>IF(Z$1&lt;=DataSettings!$B$3,SUM($E125:L125),"")</f>
        <v>23693.43</v>
      </c>
      <c r="AA125" s="60">
        <f>IF(AA$1&lt;=DataSettings!$B$3,SUM($E125:M125),"")</f>
        <v>29798.43</v>
      </c>
      <c r="AB125" s="60" t="str">
        <f>IF(AB$1&lt;=DataSettings!$B$3,SUM($E125:N125),"")</f>
        <v/>
      </c>
      <c r="AC125" s="60" t="str">
        <f>IF(AC$1&lt;=DataSettings!$B$3,SUM($E125:O125),"")</f>
        <v/>
      </c>
      <c r="AD125" s="60" t="str">
        <f>IF(AD$1&lt;=DataSettings!$B$3,SUM($E125:P125),"")</f>
        <v/>
      </c>
      <c r="AE125" s="60" t="str">
        <f>IF(AE$1&lt;=DataSettings!$B$3,SUM($E125:Q125),"")</f>
        <v/>
      </c>
    </row>
    <row r="126" hidden="1">
      <c r="A126" s="41" t="s">
        <v>18</v>
      </c>
      <c r="B126" s="41" t="s">
        <v>35</v>
      </c>
      <c r="C126" s="41" t="s">
        <v>28</v>
      </c>
      <c r="D126" s="59" t="s">
        <v>86</v>
      </c>
      <c r="E126" s="60">
        <f>IFERROR(VLOOKUP($D126,qboIS!$A$7:$O$112,COLUMN(E126)-2,FALSE),"")</f>
        <v>618.75</v>
      </c>
      <c r="F126" s="60">
        <f>IFERROR(VLOOKUP($D126,qboIS!$A$7:$O$112,COLUMN(F126)-2,FALSE),"")</f>
        <v>1655.33</v>
      </c>
      <c r="G126" s="60">
        <f>IFERROR(VLOOKUP($D126,qboIS!$A$7:$O$112,COLUMN(G126)-2,FALSE),"")</f>
        <v>741</v>
      </c>
      <c r="H126" s="60">
        <f>IFERROR(VLOOKUP($D126,qboIS!$A$7:$O$112,COLUMN(H126)-2,FALSE),"")</f>
        <v>6987.19</v>
      </c>
      <c r="I126" s="60">
        <f>IFERROR(VLOOKUP($D126,qboIS!$A$7:$O$112,COLUMN(I126)-2,FALSE),"")</f>
        <v>1197.9</v>
      </c>
      <c r="J126" s="60">
        <f>IFERROR(VLOOKUP($D126,qboIS!$A$7:$O$112,COLUMN(J126)-2,FALSE),"")</f>
        <v>2985.66</v>
      </c>
      <c r="K126" s="60">
        <f>IFERROR(VLOOKUP($D126,qboIS!$A$7:$O$112,COLUMN(K126)-2,FALSE),"")</f>
        <v>1001</v>
      </c>
      <c r="L126" s="60">
        <f>IFERROR(VLOOKUP($D126,qboIS!$A$7:$O$112,COLUMN(L126)-2,FALSE),"")</f>
        <v>2002</v>
      </c>
      <c r="M126" s="60">
        <f>IFERROR(VLOOKUP($D126,qboIS!$A$7:$O$112,COLUMN(M126)-2,FALSE),"")</f>
        <v>2894.67</v>
      </c>
      <c r="N126" s="60">
        <f>IFERROR(VLOOKUP($D126,qboIS!$A$7:$O$112,COLUMN(N126)-2,FALSE),"")</f>
        <v>20083.5</v>
      </c>
      <c r="O126" s="60" t="str">
        <f>IFERROR(VLOOKUP($D126,qboIS!$A$7:$O$112,COLUMN(O126)-2,FALSE),"")</f>
        <v/>
      </c>
      <c r="P126" s="60" t="str">
        <f>IFERROR(VLOOKUP($D126,qboIS!$A$7:$O$112,COLUMN(P126)-2,FALSE),"")</f>
        <v/>
      </c>
      <c r="Q126" s="60" t="str">
        <f>IFERROR(VLOOKUP($D126,qboIS!$A$7:$O$112,COLUMN(Q126)-2,FALSE),"")</f>
        <v/>
      </c>
      <c r="R126" s="60"/>
      <c r="S126" s="60">
        <f>IF(S$1&lt;=DataSettings!$B$3,SUM($E126:E126),"")</f>
        <v>618.75</v>
      </c>
      <c r="T126" s="60">
        <f>IF(T$1&lt;=DataSettings!$B$3,SUM($E126:F126),"")</f>
        <v>2274.08</v>
      </c>
      <c r="U126" s="60">
        <f>IF(U$1&lt;=DataSettings!$B$3,SUM($E126:G126),"")</f>
        <v>3015.08</v>
      </c>
      <c r="V126" s="60">
        <f>IF(V$1&lt;=DataSettings!$B$3,SUM($E126:H126),"")</f>
        <v>10002.27</v>
      </c>
      <c r="W126" s="60">
        <f>IF(W$1&lt;=DataSettings!$B$3,SUM($E126:I126),"")</f>
        <v>11200.17</v>
      </c>
      <c r="X126" s="60">
        <f>IF(X$1&lt;=DataSettings!$B$3,SUM($E126:J126),"")</f>
        <v>14185.83</v>
      </c>
      <c r="Y126" s="60">
        <f>IF(Y$1&lt;=DataSettings!$B$3,SUM($E126:K126),"")</f>
        <v>15186.83</v>
      </c>
      <c r="Z126" s="60">
        <f>IF(Z$1&lt;=DataSettings!$B$3,SUM($E126:L126),"")</f>
        <v>17188.83</v>
      </c>
      <c r="AA126" s="60">
        <f>IF(AA$1&lt;=DataSettings!$B$3,SUM($E126:M126),"")</f>
        <v>20083.5</v>
      </c>
      <c r="AB126" s="60" t="str">
        <f>IF(AB$1&lt;=DataSettings!$B$3,SUM($E126:N126),"")</f>
        <v/>
      </c>
      <c r="AC126" s="60" t="str">
        <f>IF(AC$1&lt;=DataSettings!$B$3,SUM($E126:O126),"")</f>
        <v/>
      </c>
      <c r="AD126" s="60" t="str">
        <f>IF(AD$1&lt;=DataSettings!$B$3,SUM($E126:P126),"")</f>
        <v/>
      </c>
      <c r="AE126" s="60" t="str">
        <f>IF(AE$1&lt;=DataSettings!$B$3,SUM($E126:Q126),"")</f>
        <v/>
      </c>
    </row>
    <row r="127" hidden="1">
      <c r="A127" s="41" t="s">
        <v>18</v>
      </c>
      <c r="B127" s="41" t="s">
        <v>35</v>
      </c>
      <c r="C127" s="41" t="s">
        <v>28</v>
      </c>
      <c r="D127" s="59" t="s">
        <v>87</v>
      </c>
      <c r="E127" s="60">
        <f>IFERROR(VLOOKUP($D127,qboIS!$A$7:$O$112,COLUMN(E127)-2,FALSE),"")</f>
        <v>8801.12</v>
      </c>
      <c r="F127" s="60">
        <f>IFERROR(VLOOKUP($D127,qboIS!$A$7:$O$112,COLUMN(F127)-2,FALSE),"")</f>
        <v>7907.73</v>
      </c>
      <c r="G127" s="60">
        <f>IFERROR(VLOOKUP($D127,qboIS!$A$7:$O$112,COLUMN(G127)-2,FALSE),"")</f>
        <v>7907.73</v>
      </c>
      <c r="H127" s="60">
        <f>IFERROR(VLOOKUP($D127,qboIS!$A$7:$O$112,COLUMN(H127)-2,FALSE),"")</f>
        <v>9382.29</v>
      </c>
      <c r="I127" s="60">
        <f>IFERROR(VLOOKUP($D127,qboIS!$A$7:$O$112,COLUMN(I127)-2,FALSE),"")</f>
        <v>11035.33</v>
      </c>
      <c r="J127" s="60">
        <f>IFERROR(VLOOKUP($D127,qboIS!$A$7:$O$112,COLUMN(J127)-2,FALSE),"")</f>
        <v>15455.86</v>
      </c>
      <c r="K127" s="60">
        <f>IFERROR(VLOOKUP($D127,qboIS!$A$7:$O$112,COLUMN(K127)-2,FALSE),"")</f>
        <v>9411.78</v>
      </c>
      <c r="L127" s="60">
        <f>IFERROR(VLOOKUP($D127,qboIS!$A$7:$O$112,COLUMN(L127)-2,FALSE),"")</f>
        <v>22000</v>
      </c>
      <c r="M127" s="60">
        <f>IFERROR(VLOOKUP($D127,qboIS!$A$7:$O$112,COLUMN(M127)-2,FALSE),"")</f>
        <v>22000</v>
      </c>
      <c r="N127" s="60">
        <f>IFERROR(VLOOKUP($D127,qboIS!$A$7:$O$112,COLUMN(N127)-2,FALSE),"")</f>
        <v>113901.84</v>
      </c>
      <c r="O127" s="60" t="str">
        <f>IFERROR(VLOOKUP($D127,qboIS!$A$7:$O$112,COLUMN(O127)-2,FALSE),"")</f>
        <v/>
      </c>
      <c r="P127" s="60" t="str">
        <f>IFERROR(VLOOKUP($D127,qboIS!$A$7:$O$112,COLUMN(P127)-2,FALSE),"")</f>
        <v/>
      </c>
      <c r="Q127" s="60" t="str">
        <f>IFERROR(VLOOKUP($D127,qboIS!$A$7:$O$112,COLUMN(Q127)-2,FALSE),"")</f>
        <v/>
      </c>
      <c r="R127" s="60"/>
      <c r="S127" s="60">
        <f>IF(S$1&lt;=DataSettings!$B$3,SUM($E127:E127),"")</f>
        <v>8801.12</v>
      </c>
      <c r="T127" s="60">
        <f>IF(T$1&lt;=DataSettings!$B$3,SUM($E127:F127),"")</f>
        <v>16708.85</v>
      </c>
      <c r="U127" s="60">
        <f>IF(U$1&lt;=DataSettings!$B$3,SUM($E127:G127),"")</f>
        <v>24616.58</v>
      </c>
      <c r="V127" s="60">
        <f>IF(V$1&lt;=DataSettings!$B$3,SUM($E127:H127),"")</f>
        <v>33998.87</v>
      </c>
      <c r="W127" s="60">
        <f>IF(W$1&lt;=DataSettings!$B$3,SUM($E127:I127),"")</f>
        <v>45034.2</v>
      </c>
      <c r="X127" s="60">
        <f>IF(X$1&lt;=DataSettings!$B$3,SUM($E127:J127),"")</f>
        <v>60490.06</v>
      </c>
      <c r="Y127" s="60">
        <f>IF(Y$1&lt;=DataSettings!$B$3,SUM($E127:K127),"")</f>
        <v>69901.84</v>
      </c>
      <c r="Z127" s="60">
        <f>IF(Z$1&lt;=DataSettings!$B$3,SUM($E127:L127),"")</f>
        <v>91901.84</v>
      </c>
      <c r="AA127" s="60">
        <f>IF(AA$1&lt;=DataSettings!$B$3,SUM($E127:M127),"")</f>
        <v>113901.84</v>
      </c>
      <c r="AB127" s="60" t="str">
        <f>IF(AB$1&lt;=DataSettings!$B$3,SUM($E127:N127),"")</f>
        <v/>
      </c>
      <c r="AC127" s="60" t="str">
        <f>IF(AC$1&lt;=DataSettings!$B$3,SUM($E127:O127),"")</f>
        <v/>
      </c>
      <c r="AD127" s="60" t="str">
        <f>IF(AD$1&lt;=DataSettings!$B$3,SUM($E127:P127),"")</f>
        <v/>
      </c>
      <c r="AE127" s="60" t="str">
        <f>IF(AE$1&lt;=DataSettings!$B$3,SUM($E127:Q127),"")</f>
        <v/>
      </c>
    </row>
    <row r="128" hidden="1">
      <c r="A128" s="41" t="s">
        <v>18</v>
      </c>
      <c r="B128" s="41" t="s">
        <v>35</v>
      </c>
      <c r="C128" s="41" t="s">
        <v>28</v>
      </c>
      <c r="D128" s="59" t="s">
        <v>88</v>
      </c>
      <c r="E128" s="60">
        <f>IFERROR(VLOOKUP($D128,qboIS!$A$7:$O$112,COLUMN(E128)-2,FALSE),"")</f>
        <v>31500.34</v>
      </c>
      <c r="F128" s="60">
        <f>IFERROR(VLOOKUP($D128,qboIS!$A$7:$O$112,COLUMN(F128)-2,FALSE),"")</f>
        <v>21447.68</v>
      </c>
      <c r="G128" s="60">
        <f>IFERROR(VLOOKUP($D128,qboIS!$A$7:$O$112,COLUMN(G128)-2,FALSE),"")</f>
        <v>21563.19</v>
      </c>
      <c r="H128" s="60">
        <f>IFERROR(VLOOKUP($D128,qboIS!$A$7:$O$112,COLUMN(H128)-2,FALSE),"")</f>
        <v>25695.58</v>
      </c>
      <c r="I128" s="60">
        <f>IFERROR(VLOOKUP($D128,qboIS!$A$7:$O$112,COLUMN(I128)-2,FALSE),"")</f>
        <v>21717.68</v>
      </c>
      <c r="J128" s="60">
        <f>IFERROR(VLOOKUP($D128,qboIS!$A$7:$O$112,COLUMN(J128)-2,FALSE),"")</f>
        <v>26990.12</v>
      </c>
      <c r="K128" s="60">
        <f>IFERROR(VLOOKUP($D128,qboIS!$A$7:$O$112,COLUMN(K128)-2,FALSE),"")</f>
        <v>21759.97</v>
      </c>
      <c r="L128" s="60">
        <f>IFERROR(VLOOKUP($D128,qboIS!$A$7:$O$112,COLUMN(L128)-2,FALSE),"")</f>
        <v>30800</v>
      </c>
      <c r="M128" s="60">
        <f>IFERROR(VLOOKUP($D128,qboIS!$A$7:$O$112,COLUMN(M128)-2,FALSE),"")</f>
        <v>30800</v>
      </c>
      <c r="N128" s="60">
        <f>IFERROR(VLOOKUP($D128,qboIS!$A$7:$O$112,COLUMN(N128)-2,FALSE),"")</f>
        <v>232274.56</v>
      </c>
      <c r="O128" s="60" t="str">
        <f>IFERROR(VLOOKUP($D128,qboIS!$A$7:$O$112,COLUMN(O128)-2,FALSE),"")</f>
        <v/>
      </c>
      <c r="P128" s="60" t="str">
        <f>IFERROR(VLOOKUP($D128,qboIS!$A$7:$O$112,COLUMN(P128)-2,FALSE),"")</f>
        <v/>
      </c>
      <c r="Q128" s="60" t="str">
        <f>IFERROR(VLOOKUP($D128,qboIS!$A$7:$O$112,COLUMN(Q128)-2,FALSE),"")</f>
        <v/>
      </c>
      <c r="R128" s="60"/>
      <c r="S128" s="60">
        <f>IF(S$1&lt;=DataSettings!$B$3,SUM($E128:E128),"")</f>
        <v>31500.34</v>
      </c>
      <c r="T128" s="60">
        <f>IF(T$1&lt;=DataSettings!$B$3,SUM($E128:F128),"")</f>
        <v>52948.02</v>
      </c>
      <c r="U128" s="60">
        <f>IF(U$1&lt;=DataSettings!$B$3,SUM($E128:G128),"")</f>
        <v>74511.21</v>
      </c>
      <c r="V128" s="60">
        <f>IF(V$1&lt;=DataSettings!$B$3,SUM($E128:H128),"")</f>
        <v>100206.79</v>
      </c>
      <c r="W128" s="60">
        <f>IF(W$1&lt;=DataSettings!$B$3,SUM($E128:I128),"")</f>
        <v>121924.47</v>
      </c>
      <c r="X128" s="60">
        <f>IF(X$1&lt;=DataSettings!$B$3,SUM($E128:J128),"")</f>
        <v>148914.59</v>
      </c>
      <c r="Y128" s="60">
        <f>IF(Y$1&lt;=DataSettings!$B$3,SUM($E128:K128),"")</f>
        <v>170674.56</v>
      </c>
      <c r="Z128" s="60">
        <f>IF(Z$1&lt;=DataSettings!$B$3,SUM($E128:L128),"")</f>
        <v>201474.56</v>
      </c>
      <c r="AA128" s="60">
        <f>IF(AA$1&lt;=DataSettings!$B$3,SUM($E128:M128),"")</f>
        <v>232274.56</v>
      </c>
      <c r="AB128" s="60" t="str">
        <f>IF(AB$1&lt;=DataSettings!$B$3,SUM($E128:N128),"")</f>
        <v/>
      </c>
      <c r="AC128" s="60" t="str">
        <f>IF(AC$1&lt;=DataSettings!$B$3,SUM($E128:O128),"")</f>
        <v/>
      </c>
      <c r="AD128" s="60" t="str">
        <f>IF(AD$1&lt;=DataSettings!$B$3,SUM($E128:P128),"")</f>
        <v/>
      </c>
      <c r="AE128" s="60" t="str">
        <f>IF(AE$1&lt;=DataSettings!$B$3,SUM($E128:Q128),"")</f>
        <v/>
      </c>
    </row>
    <row r="129" hidden="1">
      <c r="A129" s="41" t="s">
        <v>18</v>
      </c>
      <c r="B129" s="41" t="s">
        <v>35</v>
      </c>
      <c r="C129" s="41" t="s">
        <v>25</v>
      </c>
      <c r="D129" s="59" t="s">
        <v>89</v>
      </c>
      <c r="E129" s="60">
        <f>IFERROR(VLOOKUP($D129,qboIS!$A$7:$O$112,COLUMN(E129)-2,FALSE),"")</f>
        <v>45000</v>
      </c>
      <c r="F129" s="60" t="str">
        <f>IFERROR(VLOOKUP($D129,qboIS!$A$7:$O$112,COLUMN(F129)-2,FALSE),"")</f>
        <v/>
      </c>
      <c r="G129" s="60">
        <f>IFERROR(VLOOKUP($D129,qboIS!$A$7:$O$112,COLUMN(G129)-2,FALSE),"")</f>
        <v>550</v>
      </c>
      <c r="H129" s="60">
        <f>IFERROR(VLOOKUP($D129,qboIS!$A$7:$O$112,COLUMN(H129)-2,FALSE),"")</f>
        <v>3293.55</v>
      </c>
      <c r="I129" s="60">
        <f>IFERROR(VLOOKUP($D129,qboIS!$A$7:$O$112,COLUMN(I129)-2,FALSE),"")</f>
        <v>2159.48</v>
      </c>
      <c r="J129" s="60">
        <f>IFERROR(VLOOKUP($D129,qboIS!$A$7:$O$112,COLUMN(J129)-2,FALSE),"")</f>
        <v>1869.05</v>
      </c>
      <c r="K129" s="60">
        <f>IFERROR(VLOOKUP($D129,qboIS!$A$7:$O$112,COLUMN(K129)-2,FALSE),"")</f>
        <v>2136.3</v>
      </c>
      <c r="L129" s="60">
        <f>IFERROR(VLOOKUP($D129,qboIS!$A$7:$O$112,COLUMN(L129)-2,FALSE),"")</f>
        <v>2418.3</v>
      </c>
      <c r="M129" s="60">
        <f>IFERROR(VLOOKUP($D129,qboIS!$A$7:$O$112,COLUMN(M129)-2,FALSE),"")</f>
        <v>600</v>
      </c>
      <c r="N129" s="60">
        <f>IFERROR(VLOOKUP($D129,qboIS!$A$7:$O$112,COLUMN(N129)-2,FALSE),"")</f>
        <v>58026.68</v>
      </c>
      <c r="O129" s="60" t="str">
        <f>IFERROR(VLOOKUP($D129,qboIS!$A$7:$O$112,COLUMN(O129)-2,FALSE),"")</f>
        <v/>
      </c>
      <c r="P129" s="60" t="str">
        <f>IFERROR(VLOOKUP($D129,qboIS!$A$7:$O$112,COLUMN(P129)-2,FALSE),"")</f>
        <v/>
      </c>
      <c r="Q129" s="60" t="str">
        <f>IFERROR(VLOOKUP($D129,qboIS!$A$7:$O$112,COLUMN(Q129)-2,FALSE),"")</f>
        <v/>
      </c>
      <c r="R129" s="60"/>
      <c r="S129" s="60">
        <f>IF(S$1&lt;=DataSettings!$B$3,SUM($E129:E129),"")</f>
        <v>45000</v>
      </c>
      <c r="T129" s="60">
        <f>IF(T$1&lt;=DataSettings!$B$3,SUM($E129:F129),"")</f>
        <v>45000</v>
      </c>
      <c r="U129" s="60">
        <f>IF(U$1&lt;=DataSettings!$B$3,SUM($E129:G129),"")</f>
        <v>45550</v>
      </c>
      <c r="V129" s="60">
        <f>IF(V$1&lt;=DataSettings!$B$3,SUM($E129:H129),"")</f>
        <v>48843.55</v>
      </c>
      <c r="W129" s="60">
        <f>IF(W$1&lt;=DataSettings!$B$3,SUM($E129:I129),"")</f>
        <v>51003.03</v>
      </c>
      <c r="X129" s="60">
        <f>IF(X$1&lt;=DataSettings!$B$3,SUM($E129:J129),"")</f>
        <v>52872.08</v>
      </c>
      <c r="Y129" s="60">
        <f>IF(Y$1&lt;=DataSettings!$B$3,SUM($E129:K129),"")</f>
        <v>55008.38</v>
      </c>
      <c r="Z129" s="60">
        <f>IF(Z$1&lt;=DataSettings!$B$3,SUM($E129:L129),"")</f>
        <v>57426.68</v>
      </c>
      <c r="AA129" s="60">
        <f>IF(AA$1&lt;=DataSettings!$B$3,SUM($E129:M129),"")</f>
        <v>58026.68</v>
      </c>
      <c r="AB129" s="60" t="str">
        <f>IF(AB$1&lt;=DataSettings!$B$3,SUM($E129:N129),"")</f>
        <v/>
      </c>
      <c r="AC129" s="60" t="str">
        <f>IF(AC$1&lt;=DataSettings!$B$3,SUM($E129:O129),"")</f>
        <v/>
      </c>
      <c r="AD129" s="60" t="str">
        <f>IF(AD$1&lt;=DataSettings!$B$3,SUM($E129:P129),"")</f>
        <v/>
      </c>
      <c r="AE129" s="60" t="str">
        <f>IF(AE$1&lt;=DataSettings!$B$3,SUM($E129:Q129),"")</f>
        <v/>
      </c>
    </row>
    <row r="130" hidden="1">
      <c r="A130" s="41" t="s">
        <v>18</v>
      </c>
      <c r="B130" s="41" t="s">
        <v>35</v>
      </c>
      <c r="C130" s="41" t="s">
        <v>25</v>
      </c>
      <c r="D130" s="59" t="s">
        <v>90</v>
      </c>
      <c r="E130" s="60" t="str">
        <f>IFERROR(VLOOKUP($D130,qboIS!$A$7:$O$112,COLUMN(E130)-2,FALSE),"")</f>
        <v/>
      </c>
      <c r="F130" s="60" t="str">
        <f>IFERROR(VLOOKUP($D130,qboIS!$A$7:$O$112,COLUMN(F130)-2,FALSE),"")</f>
        <v/>
      </c>
      <c r="G130" s="60" t="str">
        <f>IFERROR(VLOOKUP($D130,qboIS!$A$7:$O$112,COLUMN(G130)-2,FALSE),"")</f>
        <v/>
      </c>
      <c r="H130" s="60">
        <f>IFERROR(VLOOKUP($D130,qboIS!$A$7:$O$112,COLUMN(H130)-2,FALSE),"")</f>
        <v>151.13</v>
      </c>
      <c r="I130" s="60" t="str">
        <f>IFERROR(VLOOKUP($D130,qboIS!$A$7:$O$112,COLUMN(I130)-2,FALSE),"")</f>
        <v/>
      </c>
      <c r="J130" s="60" t="str">
        <f>IFERROR(VLOOKUP($D130,qboIS!$A$7:$O$112,COLUMN(J130)-2,FALSE),"")</f>
        <v/>
      </c>
      <c r="K130" s="60" t="str">
        <f>IFERROR(VLOOKUP($D130,qboIS!$A$7:$O$112,COLUMN(K130)-2,FALSE),"")</f>
        <v/>
      </c>
      <c r="L130" s="60" t="str">
        <f>IFERROR(VLOOKUP($D130,qboIS!$A$7:$O$112,COLUMN(L130)-2,FALSE),"")</f>
        <v/>
      </c>
      <c r="M130" s="60" t="str">
        <f>IFERROR(VLOOKUP($D130,qboIS!$A$7:$O$112,COLUMN(M130)-2,FALSE),"")</f>
        <v/>
      </c>
      <c r="N130" s="60">
        <f>IFERROR(VLOOKUP($D130,qboIS!$A$7:$O$112,COLUMN(N130)-2,FALSE),"")</f>
        <v>151.13</v>
      </c>
      <c r="O130" s="60" t="str">
        <f>IFERROR(VLOOKUP($D130,qboIS!$A$7:$O$112,COLUMN(O130)-2,FALSE),"")</f>
        <v/>
      </c>
      <c r="P130" s="60" t="str">
        <f>IFERROR(VLOOKUP($D130,qboIS!$A$7:$O$112,COLUMN(P130)-2,FALSE),"")</f>
        <v/>
      </c>
      <c r="Q130" s="60" t="str">
        <f>IFERROR(VLOOKUP($D130,qboIS!$A$7:$O$112,COLUMN(Q130)-2,FALSE),"")</f>
        <v/>
      </c>
      <c r="R130" s="60"/>
      <c r="S130" s="60">
        <f>IF(S$1&lt;=DataSettings!$B$3,SUM($E130:E130),"")</f>
        <v>0</v>
      </c>
      <c r="T130" s="60">
        <f>IF(T$1&lt;=DataSettings!$B$3,SUM($E130:F130),"")</f>
        <v>0</v>
      </c>
      <c r="U130" s="60">
        <f>IF(U$1&lt;=DataSettings!$B$3,SUM($E130:G130),"")</f>
        <v>0</v>
      </c>
      <c r="V130" s="60">
        <f>IF(V$1&lt;=DataSettings!$B$3,SUM($E130:H130),"")</f>
        <v>151.13</v>
      </c>
      <c r="W130" s="60">
        <f>IF(W$1&lt;=DataSettings!$B$3,SUM($E130:I130),"")</f>
        <v>151.13</v>
      </c>
      <c r="X130" s="60">
        <f>IF(X$1&lt;=DataSettings!$B$3,SUM($E130:J130),"")</f>
        <v>151.13</v>
      </c>
      <c r="Y130" s="60">
        <f>IF(Y$1&lt;=DataSettings!$B$3,SUM($E130:K130),"")</f>
        <v>151.13</v>
      </c>
      <c r="Z130" s="60">
        <f>IF(Z$1&lt;=DataSettings!$B$3,SUM($E130:L130),"")</f>
        <v>151.13</v>
      </c>
      <c r="AA130" s="60">
        <f>IF(AA$1&lt;=DataSettings!$B$3,SUM($E130:M130),"")</f>
        <v>151.13</v>
      </c>
      <c r="AB130" s="60" t="str">
        <f>IF(AB$1&lt;=DataSettings!$B$3,SUM($E130:N130),"")</f>
        <v/>
      </c>
      <c r="AC130" s="60" t="str">
        <f>IF(AC$1&lt;=DataSettings!$B$3,SUM($E130:O130),"")</f>
        <v/>
      </c>
      <c r="AD130" s="60" t="str">
        <f>IF(AD$1&lt;=DataSettings!$B$3,SUM($E130:P130),"")</f>
        <v/>
      </c>
      <c r="AE130" s="60" t="str">
        <f>IF(AE$1&lt;=DataSettings!$B$3,SUM($E130:Q130),"")</f>
        <v/>
      </c>
    </row>
    <row r="131" hidden="1">
      <c r="A131" s="41" t="s">
        <v>18</v>
      </c>
      <c r="B131" s="41" t="s">
        <v>35</v>
      </c>
      <c r="C131" s="41" t="s">
        <v>30</v>
      </c>
      <c r="D131" s="59" t="s">
        <v>91</v>
      </c>
      <c r="E131" s="60">
        <f>IFERROR(VLOOKUP($D131,qboIS!$A$7:$O$112,COLUMN(E131)-2,FALSE),"")</f>
        <v>10600</v>
      </c>
      <c r="F131" s="60" t="str">
        <f>IFERROR(VLOOKUP($D131,qboIS!$A$7:$O$112,COLUMN(F131)-2,FALSE),"")</f>
        <v/>
      </c>
      <c r="G131" s="60">
        <f>IFERROR(VLOOKUP($D131,qboIS!$A$7:$O$112,COLUMN(G131)-2,FALSE),"")</f>
        <v>9000</v>
      </c>
      <c r="H131" s="60" t="str">
        <f>IFERROR(VLOOKUP($D131,qboIS!$A$7:$O$112,COLUMN(H131)-2,FALSE),"")</f>
        <v/>
      </c>
      <c r="I131" s="60" t="str">
        <f>IFERROR(VLOOKUP($D131,qboIS!$A$7:$O$112,COLUMN(I131)-2,FALSE),"")</f>
        <v/>
      </c>
      <c r="J131" s="60">
        <f>IFERROR(VLOOKUP($D131,qboIS!$A$7:$O$112,COLUMN(J131)-2,FALSE),"")</f>
        <v>1000</v>
      </c>
      <c r="K131" s="60" t="str">
        <f>IFERROR(VLOOKUP($D131,qboIS!$A$7:$O$112,COLUMN(K131)-2,FALSE),"")</f>
        <v/>
      </c>
      <c r="L131" s="60" t="str">
        <f>IFERROR(VLOOKUP($D131,qboIS!$A$7:$O$112,COLUMN(L131)-2,FALSE),"")</f>
        <v/>
      </c>
      <c r="M131" s="60" t="str">
        <f>IFERROR(VLOOKUP($D131,qboIS!$A$7:$O$112,COLUMN(M131)-2,FALSE),"")</f>
        <v/>
      </c>
      <c r="N131" s="60">
        <f>IFERROR(VLOOKUP($D131,qboIS!$A$7:$O$112,COLUMN(N131)-2,FALSE),"")</f>
        <v>20600</v>
      </c>
      <c r="O131" s="60" t="str">
        <f>IFERROR(VLOOKUP($D131,qboIS!$A$7:$O$112,COLUMN(O131)-2,FALSE),"")</f>
        <v/>
      </c>
      <c r="P131" s="60" t="str">
        <f>IFERROR(VLOOKUP($D131,qboIS!$A$7:$O$112,COLUMN(P131)-2,FALSE),"")</f>
        <v/>
      </c>
      <c r="Q131" s="60" t="str">
        <f>IFERROR(VLOOKUP($D131,qboIS!$A$7:$O$112,COLUMN(Q131)-2,FALSE),"")</f>
        <v/>
      </c>
      <c r="R131" s="60"/>
      <c r="S131" s="60">
        <f>IF(S$1&lt;=DataSettings!$B$3,SUM($E131:E131),"")</f>
        <v>10600</v>
      </c>
      <c r="T131" s="60">
        <f>IF(T$1&lt;=DataSettings!$B$3,SUM($E131:F131),"")</f>
        <v>10600</v>
      </c>
      <c r="U131" s="60">
        <f>IF(U$1&lt;=DataSettings!$B$3,SUM($E131:G131),"")</f>
        <v>19600</v>
      </c>
      <c r="V131" s="60">
        <f>IF(V$1&lt;=DataSettings!$B$3,SUM($E131:H131),"")</f>
        <v>19600</v>
      </c>
      <c r="W131" s="60">
        <f>IF(W$1&lt;=DataSettings!$B$3,SUM($E131:I131),"")</f>
        <v>19600</v>
      </c>
      <c r="X131" s="60">
        <f>IF(X$1&lt;=DataSettings!$B$3,SUM($E131:J131),"")</f>
        <v>20600</v>
      </c>
      <c r="Y131" s="60">
        <f>IF(Y$1&lt;=DataSettings!$B$3,SUM($E131:K131),"")</f>
        <v>20600</v>
      </c>
      <c r="Z131" s="60">
        <f>IF(Z$1&lt;=DataSettings!$B$3,SUM($E131:L131),"")</f>
        <v>20600</v>
      </c>
      <c r="AA131" s="60">
        <f>IF(AA$1&lt;=DataSettings!$B$3,SUM($E131:M131),"")</f>
        <v>20600</v>
      </c>
      <c r="AB131" s="60" t="str">
        <f>IF(AB$1&lt;=DataSettings!$B$3,SUM($E131:N131),"")</f>
        <v/>
      </c>
      <c r="AC131" s="60" t="str">
        <f>IF(AC$1&lt;=DataSettings!$B$3,SUM($E131:O131),"")</f>
        <v/>
      </c>
      <c r="AD131" s="60" t="str">
        <f>IF(AD$1&lt;=DataSettings!$B$3,SUM($E131:P131),"")</f>
        <v/>
      </c>
      <c r="AE131" s="60" t="str">
        <f>IF(AE$1&lt;=DataSettings!$B$3,SUM($E131:Q131),"")</f>
        <v/>
      </c>
    </row>
    <row r="132" hidden="1">
      <c r="A132" s="41" t="s">
        <v>18</v>
      </c>
      <c r="B132" s="41" t="s">
        <v>35</v>
      </c>
      <c r="C132" s="41" t="s">
        <v>30</v>
      </c>
      <c r="D132" s="59" t="s">
        <v>92</v>
      </c>
      <c r="E132" s="60">
        <f>IFERROR(VLOOKUP($D132,qboIS!$A$7:$O$112,COLUMN(E132)-2,FALSE),"")</f>
        <v>391.44</v>
      </c>
      <c r="F132" s="60">
        <f>IFERROR(VLOOKUP($D132,qboIS!$A$7:$O$112,COLUMN(F132)-2,FALSE),"")</f>
        <v>286.59</v>
      </c>
      <c r="G132" s="60">
        <f>IFERROR(VLOOKUP($D132,qboIS!$A$7:$O$112,COLUMN(G132)-2,FALSE),"")</f>
        <v>219.02</v>
      </c>
      <c r="H132" s="60" t="str">
        <f>IFERROR(VLOOKUP($D132,qboIS!$A$7:$O$112,COLUMN(H132)-2,FALSE),"")</f>
        <v/>
      </c>
      <c r="I132" s="60" t="str">
        <f>IFERROR(VLOOKUP($D132,qboIS!$A$7:$O$112,COLUMN(I132)-2,FALSE),"")</f>
        <v/>
      </c>
      <c r="J132" s="60">
        <f>IFERROR(VLOOKUP($D132,qboIS!$A$7:$O$112,COLUMN(J132)-2,FALSE),"")</f>
        <v>302.9</v>
      </c>
      <c r="K132" s="60" t="str">
        <f>IFERROR(VLOOKUP($D132,qboIS!$A$7:$O$112,COLUMN(K132)-2,FALSE),"")</f>
        <v/>
      </c>
      <c r="L132" s="60">
        <f>IFERROR(VLOOKUP($D132,qboIS!$A$7:$O$112,COLUMN(L132)-2,FALSE),"")</f>
        <v>1584</v>
      </c>
      <c r="M132" s="60">
        <f>IFERROR(VLOOKUP($D132,qboIS!$A$7:$O$112,COLUMN(M132)-2,FALSE),"")</f>
        <v>7700</v>
      </c>
      <c r="N132" s="60">
        <f>IFERROR(VLOOKUP($D132,qboIS!$A$7:$O$112,COLUMN(N132)-2,FALSE),"")</f>
        <v>10483.95</v>
      </c>
      <c r="O132" s="60" t="str">
        <f>IFERROR(VLOOKUP($D132,qboIS!$A$7:$O$112,COLUMN(O132)-2,FALSE),"")</f>
        <v/>
      </c>
      <c r="P132" s="60" t="str">
        <f>IFERROR(VLOOKUP($D132,qboIS!$A$7:$O$112,COLUMN(P132)-2,FALSE),"")</f>
        <v/>
      </c>
      <c r="Q132" s="60" t="str">
        <f>IFERROR(VLOOKUP($D132,qboIS!$A$7:$O$112,COLUMN(Q132)-2,FALSE),"")</f>
        <v/>
      </c>
      <c r="R132" s="60"/>
      <c r="S132" s="60">
        <f>IF(S$1&lt;=DataSettings!$B$3,SUM($E132:E132),"")</f>
        <v>391.44</v>
      </c>
      <c r="T132" s="60">
        <f>IF(T$1&lt;=DataSettings!$B$3,SUM($E132:F132),"")</f>
        <v>678.03</v>
      </c>
      <c r="U132" s="60">
        <f>IF(U$1&lt;=DataSettings!$B$3,SUM($E132:G132),"")</f>
        <v>897.05</v>
      </c>
      <c r="V132" s="60">
        <f>IF(V$1&lt;=DataSettings!$B$3,SUM($E132:H132),"")</f>
        <v>897.05</v>
      </c>
      <c r="W132" s="60">
        <f>IF(W$1&lt;=DataSettings!$B$3,SUM($E132:I132),"")</f>
        <v>897.05</v>
      </c>
      <c r="X132" s="60">
        <f>IF(X$1&lt;=DataSettings!$B$3,SUM($E132:J132),"")</f>
        <v>1199.95</v>
      </c>
      <c r="Y132" s="60">
        <f>IF(Y$1&lt;=DataSettings!$B$3,SUM($E132:K132),"")</f>
        <v>1199.95</v>
      </c>
      <c r="Z132" s="60">
        <f>IF(Z$1&lt;=DataSettings!$B$3,SUM($E132:L132),"")</f>
        <v>2783.95</v>
      </c>
      <c r="AA132" s="60">
        <f>IF(AA$1&lt;=DataSettings!$B$3,SUM($E132:M132),"")</f>
        <v>10483.95</v>
      </c>
      <c r="AB132" s="60" t="str">
        <f>IF(AB$1&lt;=DataSettings!$B$3,SUM($E132:N132),"")</f>
        <v/>
      </c>
      <c r="AC132" s="60" t="str">
        <f>IF(AC$1&lt;=DataSettings!$B$3,SUM($E132:O132),"")</f>
        <v/>
      </c>
      <c r="AD132" s="60" t="str">
        <f>IF(AD$1&lt;=DataSettings!$B$3,SUM($E132:P132),"")</f>
        <v/>
      </c>
      <c r="AE132" s="60" t="str">
        <f>IF(AE$1&lt;=DataSettings!$B$3,SUM($E132:Q132),"")</f>
        <v/>
      </c>
    </row>
    <row r="133" hidden="1">
      <c r="A133" s="41" t="s">
        <v>18</v>
      </c>
      <c r="B133" s="41" t="s">
        <v>35</v>
      </c>
      <c r="C133" s="41" t="s">
        <v>30</v>
      </c>
      <c r="D133" s="59" t="s">
        <v>93</v>
      </c>
      <c r="E133" s="60">
        <f>IFERROR(VLOOKUP($D133,qboIS!$A$7:$O$112,COLUMN(E133)-2,FALSE),"")</f>
        <v>8503.5</v>
      </c>
      <c r="F133" s="60" t="str">
        <f>IFERROR(VLOOKUP($D133,qboIS!$A$7:$O$112,COLUMN(F133)-2,FALSE),"")</f>
        <v/>
      </c>
      <c r="G133" s="60">
        <f>IFERROR(VLOOKUP($D133,qboIS!$A$7:$O$112,COLUMN(G133)-2,FALSE),"")</f>
        <v>357</v>
      </c>
      <c r="H133" s="60">
        <f>IFERROR(VLOOKUP($D133,qboIS!$A$7:$O$112,COLUMN(H133)-2,FALSE),"")</f>
        <v>774</v>
      </c>
      <c r="I133" s="60">
        <f>IFERROR(VLOOKUP($D133,qboIS!$A$7:$O$112,COLUMN(I133)-2,FALSE),"")</f>
        <v>1074</v>
      </c>
      <c r="J133" s="60">
        <f>IFERROR(VLOOKUP($D133,qboIS!$A$7:$O$112,COLUMN(J133)-2,FALSE),"")</f>
        <v>1074</v>
      </c>
      <c r="K133" s="60">
        <f>IFERROR(VLOOKUP($D133,qboIS!$A$7:$O$112,COLUMN(K133)-2,FALSE),"")</f>
        <v>5353</v>
      </c>
      <c r="L133" s="60">
        <f>IFERROR(VLOOKUP($D133,qboIS!$A$7:$O$112,COLUMN(L133)-2,FALSE),"")</f>
        <v>1074</v>
      </c>
      <c r="M133" s="60">
        <f>IFERROR(VLOOKUP($D133,qboIS!$A$7:$O$112,COLUMN(M133)-2,FALSE),"")</f>
        <v>1074</v>
      </c>
      <c r="N133" s="60">
        <f>IFERROR(VLOOKUP($D133,qboIS!$A$7:$O$112,COLUMN(N133)-2,FALSE),"")</f>
        <v>19283.5</v>
      </c>
      <c r="O133" s="60" t="str">
        <f>IFERROR(VLOOKUP($D133,qboIS!$A$7:$O$112,COLUMN(O133)-2,FALSE),"")</f>
        <v/>
      </c>
      <c r="P133" s="60" t="str">
        <f>IFERROR(VLOOKUP($D133,qboIS!$A$7:$O$112,COLUMN(P133)-2,FALSE),"")</f>
        <v/>
      </c>
      <c r="Q133" s="60" t="str">
        <f>IFERROR(VLOOKUP($D133,qboIS!$A$7:$O$112,COLUMN(Q133)-2,FALSE),"")</f>
        <v/>
      </c>
      <c r="R133" s="60"/>
      <c r="S133" s="60">
        <f>IF(S$1&lt;=DataSettings!$B$3,SUM($E133:E133),"")</f>
        <v>8503.5</v>
      </c>
      <c r="T133" s="60">
        <f>IF(T$1&lt;=DataSettings!$B$3,SUM($E133:F133),"")</f>
        <v>8503.5</v>
      </c>
      <c r="U133" s="60">
        <f>IF(U$1&lt;=DataSettings!$B$3,SUM($E133:G133),"")</f>
        <v>8860.5</v>
      </c>
      <c r="V133" s="60">
        <f>IF(V$1&lt;=DataSettings!$B$3,SUM($E133:H133),"")</f>
        <v>9634.5</v>
      </c>
      <c r="W133" s="60">
        <f>IF(W$1&lt;=DataSettings!$B$3,SUM($E133:I133),"")</f>
        <v>10708.5</v>
      </c>
      <c r="X133" s="60">
        <f>IF(X$1&lt;=DataSettings!$B$3,SUM($E133:J133),"")</f>
        <v>11782.5</v>
      </c>
      <c r="Y133" s="60">
        <f>IF(Y$1&lt;=DataSettings!$B$3,SUM($E133:K133),"")</f>
        <v>17135.5</v>
      </c>
      <c r="Z133" s="60">
        <f>IF(Z$1&lt;=DataSettings!$B$3,SUM($E133:L133),"")</f>
        <v>18209.5</v>
      </c>
      <c r="AA133" s="60">
        <f>IF(AA$1&lt;=DataSettings!$B$3,SUM($E133:M133),"")</f>
        <v>19283.5</v>
      </c>
      <c r="AB133" s="60" t="str">
        <f>IF(AB$1&lt;=DataSettings!$B$3,SUM($E133:N133),"")</f>
        <v/>
      </c>
      <c r="AC133" s="60" t="str">
        <f>IF(AC$1&lt;=DataSettings!$B$3,SUM($E133:O133),"")</f>
        <v/>
      </c>
      <c r="AD133" s="60" t="str">
        <f>IF(AD$1&lt;=DataSettings!$B$3,SUM($E133:P133),"")</f>
        <v/>
      </c>
      <c r="AE133" s="60" t="str">
        <f>IF(AE$1&lt;=DataSettings!$B$3,SUM($E133:Q133),"")</f>
        <v/>
      </c>
    </row>
    <row r="134" hidden="1">
      <c r="A134" s="41" t="s">
        <v>18</v>
      </c>
      <c r="B134" s="41" t="s">
        <v>35</v>
      </c>
      <c r="C134" s="41" t="s">
        <v>30</v>
      </c>
      <c r="D134" s="59" t="s">
        <v>94</v>
      </c>
      <c r="E134" s="60" t="str">
        <f>IFERROR(VLOOKUP($D134,qboIS!$A$7:$O$112,COLUMN(E134)-2,FALSE),"")</f>
        <v/>
      </c>
      <c r="F134" s="60" t="str">
        <f>IFERROR(VLOOKUP($D134,qboIS!$A$7:$O$112,COLUMN(F134)-2,FALSE),"")</f>
        <v/>
      </c>
      <c r="G134" s="60" t="str">
        <f>IFERROR(VLOOKUP($D134,qboIS!$A$7:$O$112,COLUMN(G134)-2,FALSE),"")</f>
        <v/>
      </c>
      <c r="H134" s="60" t="str">
        <f>IFERROR(VLOOKUP($D134,qboIS!$A$7:$O$112,COLUMN(H134)-2,FALSE),"")</f>
        <v/>
      </c>
      <c r="I134" s="60" t="str">
        <f>IFERROR(VLOOKUP($D134,qboIS!$A$7:$O$112,COLUMN(I134)-2,FALSE),"")</f>
        <v/>
      </c>
      <c r="J134" s="60" t="str">
        <f>IFERROR(VLOOKUP($D134,qboIS!$A$7:$O$112,COLUMN(J134)-2,FALSE),"")</f>
        <v/>
      </c>
      <c r="K134" s="60" t="str">
        <f>IFERROR(VLOOKUP($D134,qboIS!$A$7:$O$112,COLUMN(K134)-2,FALSE),"")</f>
        <v/>
      </c>
      <c r="L134" s="60" t="str">
        <f>IFERROR(VLOOKUP($D134,qboIS!$A$7:$O$112,COLUMN(L134)-2,FALSE),"")</f>
        <v/>
      </c>
      <c r="M134" s="60" t="str">
        <f>IFERROR(VLOOKUP($D134,qboIS!$A$7:$O$112,COLUMN(M134)-2,FALSE),"")</f>
        <v/>
      </c>
      <c r="N134" s="60" t="str">
        <f>IFERROR(VLOOKUP($D134,qboIS!$A$7:$O$112,COLUMN(N134)-2,FALSE),"")</f>
        <v/>
      </c>
      <c r="O134" s="60" t="str">
        <f>IFERROR(VLOOKUP($D134,qboIS!$A$7:$O$112,COLUMN(O134)-2,FALSE),"")</f>
        <v/>
      </c>
      <c r="P134" s="60" t="str">
        <f>IFERROR(VLOOKUP($D134,qboIS!$A$7:$O$112,COLUMN(P134)-2,FALSE),"")</f>
        <v/>
      </c>
      <c r="Q134" s="60" t="str">
        <f>IFERROR(VLOOKUP($D134,qboIS!$A$7:$O$112,COLUMN(Q134)-2,FALSE),"")</f>
        <v/>
      </c>
      <c r="R134" s="60"/>
      <c r="S134" s="60">
        <f>IF(S$1&lt;=DataSettings!$B$3,SUM($E134:E134),"")</f>
        <v>0</v>
      </c>
      <c r="T134" s="60">
        <f>IF(T$1&lt;=DataSettings!$B$3,SUM($E134:F134),"")</f>
        <v>0</v>
      </c>
      <c r="U134" s="60">
        <f>IF(U$1&lt;=DataSettings!$B$3,SUM($E134:G134),"")</f>
        <v>0</v>
      </c>
      <c r="V134" s="60">
        <f>IF(V$1&lt;=DataSettings!$B$3,SUM($E134:H134),"")</f>
        <v>0</v>
      </c>
      <c r="W134" s="60">
        <f>IF(W$1&lt;=DataSettings!$B$3,SUM($E134:I134),"")</f>
        <v>0</v>
      </c>
      <c r="X134" s="60">
        <f>IF(X$1&lt;=DataSettings!$B$3,SUM($E134:J134),"")</f>
        <v>0</v>
      </c>
      <c r="Y134" s="60">
        <f>IF(Y$1&lt;=DataSettings!$B$3,SUM($E134:K134),"")</f>
        <v>0</v>
      </c>
      <c r="Z134" s="60">
        <f>IF(Z$1&lt;=DataSettings!$B$3,SUM($E134:L134),"")</f>
        <v>0</v>
      </c>
      <c r="AA134" s="60">
        <f>IF(AA$1&lt;=DataSettings!$B$3,SUM($E134:M134),"")</f>
        <v>0</v>
      </c>
      <c r="AB134" s="60" t="str">
        <f>IF(AB$1&lt;=DataSettings!$B$3,SUM($E134:N134),"")</f>
        <v/>
      </c>
      <c r="AC134" s="60" t="str">
        <f>IF(AC$1&lt;=DataSettings!$B$3,SUM($E134:O134),"")</f>
        <v/>
      </c>
      <c r="AD134" s="60" t="str">
        <f>IF(AD$1&lt;=DataSettings!$B$3,SUM($E134:P134),"")</f>
        <v/>
      </c>
      <c r="AE134" s="60" t="str">
        <f>IF(AE$1&lt;=DataSettings!$B$3,SUM($E134:Q134),"")</f>
        <v/>
      </c>
    </row>
    <row r="135" hidden="1">
      <c r="A135" s="41" t="s">
        <v>18</v>
      </c>
      <c r="B135" s="41" t="s">
        <v>35</v>
      </c>
      <c r="C135" s="41" t="s">
        <v>30</v>
      </c>
      <c r="D135" s="59" t="s">
        <v>95</v>
      </c>
      <c r="E135" s="60">
        <f>IFERROR(VLOOKUP($D135,qboIS!$A$7:$O$112,COLUMN(E135)-2,FALSE),"")</f>
        <v>66963.11</v>
      </c>
      <c r="F135" s="60">
        <f>IFERROR(VLOOKUP($D135,qboIS!$A$7:$O$112,COLUMN(F135)-2,FALSE),"")</f>
        <v>39006.59</v>
      </c>
      <c r="G135" s="60">
        <f>IFERROR(VLOOKUP($D135,qboIS!$A$7:$O$112,COLUMN(G135)-2,FALSE),"")</f>
        <v>39042.12</v>
      </c>
      <c r="H135" s="60">
        <f>IFERROR(VLOOKUP($D135,qboIS!$A$7:$O$112,COLUMN(H135)-2,FALSE),"")</f>
        <v>66651.46</v>
      </c>
      <c r="I135" s="60">
        <f>IFERROR(VLOOKUP($D135,qboIS!$A$7:$O$112,COLUMN(I135)-2,FALSE),"")</f>
        <v>38520.21</v>
      </c>
      <c r="J135" s="60">
        <f>IFERROR(VLOOKUP($D135,qboIS!$A$7:$O$112,COLUMN(J135)-2,FALSE),"")</f>
        <v>347598.7</v>
      </c>
      <c r="K135" s="60">
        <f>IFERROR(VLOOKUP($D135,qboIS!$A$7:$O$112,COLUMN(K135)-2,FALSE),"")</f>
        <v>44475.01</v>
      </c>
      <c r="L135" s="60">
        <f>IFERROR(VLOOKUP($D135,qboIS!$A$7:$O$112,COLUMN(L135)-2,FALSE),"")</f>
        <v>141182.99</v>
      </c>
      <c r="M135" s="60">
        <f>IFERROR(VLOOKUP($D135,qboIS!$A$7:$O$112,COLUMN(M135)-2,FALSE),"")</f>
        <v>-190993.69</v>
      </c>
      <c r="N135" s="60">
        <f>IFERROR(VLOOKUP($D135,qboIS!$A$7:$O$112,COLUMN(N135)-2,FALSE),"")</f>
        <v>592446.5</v>
      </c>
      <c r="O135" s="60" t="str">
        <f>IFERROR(VLOOKUP($D135,qboIS!$A$7:$O$112,COLUMN(O135)-2,FALSE),"")</f>
        <v/>
      </c>
      <c r="P135" s="60" t="str">
        <f>IFERROR(VLOOKUP($D135,qboIS!$A$7:$O$112,COLUMN(P135)-2,FALSE),"")</f>
        <v/>
      </c>
      <c r="Q135" s="60" t="str">
        <f>IFERROR(VLOOKUP($D135,qboIS!$A$7:$O$112,COLUMN(Q135)-2,FALSE),"")</f>
        <v/>
      </c>
      <c r="R135" s="60"/>
      <c r="S135" s="60">
        <f>IF(S$1&lt;=DataSettings!$B$3,SUM($E135:E135),"")</f>
        <v>66963.11</v>
      </c>
      <c r="T135" s="60">
        <f>IF(T$1&lt;=DataSettings!$B$3,SUM($E135:F135),"")</f>
        <v>105969.7</v>
      </c>
      <c r="U135" s="60">
        <f>IF(U$1&lt;=DataSettings!$B$3,SUM($E135:G135),"")</f>
        <v>145011.82</v>
      </c>
      <c r="V135" s="60">
        <f>IF(V$1&lt;=DataSettings!$B$3,SUM($E135:H135),"")</f>
        <v>211663.28</v>
      </c>
      <c r="W135" s="60">
        <f>IF(W$1&lt;=DataSettings!$B$3,SUM($E135:I135),"")</f>
        <v>250183.49</v>
      </c>
      <c r="X135" s="60">
        <f>IF(X$1&lt;=DataSettings!$B$3,SUM($E135:J135),"")</f>
        <v>597782.19</v>
      </c>
      <c r="Y135" s="60">
        <f>IF(Y$1&lt;=DataSettings!$B$3,SUM($E135:K135),"")</f>
        <v>642257.2</v>
      </c>
      <c r="Z135" s="60">
        <f>IF(Z$1&lt;=DataSettings!$B$3,SUM($E135:L135),"")</f>
        <v>783440.19</v>
      </c>
      <c r="AA135" s="60">
        <f>IF(AA$1&lt;=DataSettings!$B$3,SUM($E135:M135),"")</f>
        <v>592446.5</v>
      </c>
      <c r="AB135" s="60" t="str">
        <f>IF(AB$1&lt;=DataSettings!$B$3,SUM($E135:N135),"")</f>
        <v/>
      </c>
      <c r="AC135" s="60" t="str">
        <f>IF(AC$1&lt;=DataSettings!$B$3,SUM($E135:O135),"")</f>
        <v/>
      </c>
      <c r="AD135" s="60" t="str">
        <f>IF(AD$1&lt;=DataSettings!$B$3,SUM($E135:P135),"")</f>
        <v/>
      </c>
      <c r="AE135" s="60" t="str">
        <f>IF(AE$1&lt;=DataSettings!$B$3,SUM($E135:Q135),"")</f>
        <v/>
      </c>
    </row>
    <row r="136" hidden="1">
      <c r="A136" s="41" t="s">
        <v>18</v>
      </c>
      <c r="B136" s="41" t="s">
        <v>35</v>
      </c>
      <c r="C136" s="41" t="s">
        <v>30</v>
      </c>
      <c r="D136" s="59" t="s">
        <v>96</v>
      </c>
      <c r="E136" s="60">
        <f>IFERROR(VLOOKUP($D136,qboIS!$A$7:$O$112,COLUMN(E136)-2,FALSE),"")</f>
        <v>2330</v>
      </c>
      <c r="F136" s="60">
        <f>IFERROR(VLOOKUP($D136,qboIS!$A$7:$O$112,COLUMN(F136)-2,FALSE),"")</f>
        <v>750</v>
      </c>
      <c r="G136" s="60" t="str">
        <f>IFERROR(VLOOKUP($D136,qboIS!$A$7:$O$112,COLUMN(G136)-2,FALSE),"")</f>
        <v/>
      </c>
      <c r="H136" s="60" t="str">
        <f>IFERROR(VLOOKUP($D136,qboIS!$A$7:$O$112,COLUMN(H136)-2,FALSE),"")</f>
        <v/>
      </c>
      <c r="I136" s="60" t="str">
        <f>IFERROR(VLOOKUP($D136,qboIS!$A$7:$O$112,COLUMN(I136)-2,FALSE),"")</f>
        <v/>
      </c>
      <c r="J136" s="60" t="str">
        <f>IFERROR(VLOOKUP($D136,qboIS!$A$7:$O$112,COLUMN(J136)-2,FALSE),"")</f>
        <v/>
      </c>
      <c r="K136" s="60" t="str">
        <f>IFERROR(VLOOKUP($D136,qboIS!$A$7:$O$112,COLUMN(K136)-2,FALSE),"")</f>
        <v/>
      </c>
      <c r="L136" s="60" t="str">
        <f>IFERROR(VLOOKUP($D136,qboIS!$A$7:$O$112,COLUMN(L136)-2,FALSE),"")</f>
        <v/>
      </c>
      <c r="M136" s="60" t="str">
        <f>IFERROR(VLOOKUP($D136,qboIS!$A$7:$O$112,COLUMN(M136)-2,FALSE),"")</f>
        <v/>
      </c>
      <c r="N136" s="60">
        <f>IFERROR(VLOOKUP($D136,qboIS!$A$7:$O$112,COLUMN(N136)-2,FALSE),"")</f>
        <v>3080</v>
      </c>
      <c r="O136" s="60" t="str">
        <f>IFERROR(VLOOKUP($D136,qboIS!$A$7:$O$112,COLUMN(O136)-2,FALSE),"")</f>
        <v/>
      </c>
      <c r="P136" s="60" t="str">
        <f>IFERROR(VLOOKUP($D136,qboIS!$A$7:$O$112,COLUMN(P136)-2,FALSE),"")</f>
        <v/>
      </c>
      <c r="Q136" s="60" t="str">
        <f>IFERROR(VLOOKUP($D136,qboIS!$A$7:$O$112,COLUMN(Q136)-2,FALSE),"")</f>
        <v/>
      </c>
      <c r="R136" s="60"/>
      <c r="S136" s="60">
        <f>IF(S$1&lt;=DataSettings!$B$3,SUM($E136:E136),"")</f>
        <v>2330</v>
      </c>
      <c r="T136" s="60">
        <f>IF(T$1&lt;=DataSettings!$B$3,SUM($E136:F136),"")</f>
        <v>3080</v>
      </c>
      <c r="U136" s="60">
        <f>IF(U$1&lt;=DataSettings!$B$3,SUM($E136:G136),"")</f>
        <v>3080</v>
      </c>
      <c r="V136" s="60">
        <f>IF(V$1&lt;=DataSettings!$B$3,SUM($E136:H136),"")</f>
        <v>3080</v>
      </c>
      <c r="W136" s="60">
        <f>IF(W$1&lt;=DataSettings!$B$3,SUM($E136:I136),"")</f>
        <v>3080</v>
      </c>
      <c r="X136" s="60">
        <f>IF(X$1&lt;=DataSettings!$B$3,SUM($E136:J136),"")</f>
        <v>3080</v>
      </c>
      <c r="Y136" s="60">
        <f>IF(Y$1&lt;=DataSettings!$B$3,SUM($E136:K136),"")</f>
        <v>3080</v>
      </c>
      <c r="Z136" s="60">
        <f>IF(Z$1&lt;=DataSettings!$B$3,SUM($E136:L136),"")</f>
        <v>3080</v>
      </c>
      <c r="AA136" s="60">
        <f>IF(AA$1&lt;=DataSettings!$B$3,SUM($E136:M136),"")</f>
        <v>3080</v>
      </c>
      <c r="AB136" s="60" t="str">
        <f>IF(AB$1&lt;=DataSettings!$B$3,SUM($E136:N136),"")</f>
        <v/>
      </c>
      <c r="AC136" s="60" t="str">
        <f>IF(AC$1&lt;=DataSettings!$B$3,SUM($E136:O136),"")</f>
        <v/>
      </c>
      <c r="AD136" s="60" t="str">
        <f>IF(AD$1&lt;=DataSettings!$B$3,SUM($E136:P136),"")</f>
        <v/>
      </c>
      <c r="AE136" s="60" t="str">
        <f>IF(AE$1&lt;=DataSettings!$B$3,SUM($E136:Q136),"")</f>
        <v/>
      </c>
    </row>
    <row r="137" hidden="1">
      <c r="A137" s="41" t="s">
        <v>18</v>
      </c>
      <c r="B137" s="41" t="s">
        <v>35</v>
      </c>
      <c r="C137" s="41" t="s">
        <v>30</v>
      </c>
      <c r="D137" s="59" t="s">
        <v>97</v>
      </c>
      <c r="E137" s="60">
        <f>IFERROR(VLOOKUP($D137,qboIS!$A$7:$O$112,COLUMN(E137)-2,FALSE),"")</f>
        <v>84.34</v>
      </c>
      <c r="F137" s="60">
        <f>IFERROR(VLOOKUP($D137,qboIS!$A$7:$O$112,COLUMN(F137)-2,FALSE),"")</f>
        <v>75.51</v>
      </c>
      <c r="G137" s="60">
        <f>IFERROR(VLOOKUP($D137,qboIS!$A$7:$O$112,COLUMN(G137)-2,FALSE),"")</f>
        <v>16.03</v>
      </c>
      <c r="H137" s="60">
        <f>IFERROR(VLOOKUP($D137,qboIS!$A$7:$O$112,COLUMN(H137)-2,FALSE),"")</f>
        <v>154.6</v>
      </c>
      <c r="I137" s="60">
        <f>IFERROR(VLOOKUP($D137,qboIS!$A$7:$O$112,COLUMN(I137)-2,FALSE),"")</f>
        <v>2086.34</v>
      </c>
      <c r="J137" s="60">
        <f>IFERROR(VLOOKUP($D137,qboIS!$A$7:$O$112,COLUMN(J137)-2,FALSE),"")</f>
        <v>88.95</v>
      </c>
      <c r="K137" s="60">
        <f>IFERROR(VLOOKUP($D137,qboIS!$A$7:$O$112,COLUMN(K137)-2,FALSE),"")</f>
        <v>57.28</v>
      </c>
      <c r="L137" s="60" t="str">
        <f>IFERROR(VLOOKUP($D137,qboIS!$A$7:$O$112,COLUMN(L137)-2,FALSE),"")</f>
        <v/>
      </c>
      <c r="M137" s="60">
        <f>IFERROR(VLOOKUP($D137,qboIS!$A$7:$O$112,COLUMN(M137)-2,FALSE),"")</f>
        <v>1555.9</v>
      </c>
      <c r="N137" s="60">
        <f>IFERROR(VLOOKUP($D137,qboIS!$A$7:$O$112,COLUMN(N137)-2,FALSE),"")</f>
        <v>4118.95</v>
      </c>
      <c r="O137" s="60" t="str">
        <f>IFERROR(VLOOKUP($D137,qboIS!$A$7:$O$112,COLUMN(O137)-2,FALSE),"")</f>
        <v/>
      </c>
      <c r="P137" s="60" t="str">
        <f>IFERROR(VLOOKUP($D137,qboIS!$A$7:$O$112,COLUMN(P137)-2,FALSE),"")</f>
        <v/>
      </c>
      <c r="Q137" s="60" t="str">
        <f>IFERROR(VLOOKUP($D137,qboIS!$A$7:$O$112,COLUMN(Q137)-2,FALSE),"")</f>
        <v/>
      </c>
      <c r="R137" s="60"/>
      <c r="S137" s="60">
        <f>IF(S$1&lt;=DataSettings!$B$3,SUM($E137:E137),"")</f>
        <v>84.34</v>
      </c>
      <c r="T137" s="60">
        <f>IF(T$1&lt;=DataSettings!$B$3,SUM($E137:F137),"")</f>
        <v>159.85</v>
      </c>
      <c r="U137" s="60">
        <f>IF(U$1&lt;=DataSettings!$B$3,SUM($E137:G137),"")</f>
        <v>175.88</v>
      </c>
      <c r="V137" s="60">
        <f>IF(V$1&lt;=DataSettings!$B$3,SUM($E137:H137),"")</f>
        <v>330.48</v>
      </c>
      <c r="W137" s="60">
        <f>IF(W$1&lt;=DataSettings!$B$3,SUM($E137:I137),"")</f>
        <v>2416.82</v>
      </c>
      <c r="X137" s="60">
        <f>IF(X$1&lt;=DataSettings!$B$3,SUM($E137:J137),"")</f>
        <v>2505.77</v>
      </c>
      <c r="Y137" s="60">
        <f>IF(Y$1&lt;=DataSettings!$B$3,SUM($E137:K137),"")</f>
        <v>2563.05</v>
      </c>
      <c r="Z137" s="60">
        <f>IF(Z$1&lt;=DataSettings!$B$3,SUM($E137:L137),"")</f>
        <v>2563.05</v>
      </c>
      <c r="AA137" s="60">
        <f>IF(AA$1&lt;=DataSettings!$B$3,SUM($E137:M137),"")</f>
        <v>4118.95</v>
      </c>
      <c r="AB137" s="60" t="str">
        <f>IF(AB$1&lt;=DataSettings!$B$3,SUM($E137:N137),"")</f>
        <v/>
      </c>
      <c r="AC137" s="60" t="str">
        <f>IF(AC$1&lt;=DataSettings!$B$3,SUM($E137:O137),"")</f>
        <v/>
      </c>
      <c r="AD137" s="60" t="str">
        <f>IF(AD$1&lt;=DataSettings!$B$3,SUM($E137:P137),"")</f>
        <v/>
      </c>
      <c r="AE137" s="60" t="str">
        <f>IF(AE$1&lt;=DataSettings!$B$3,SUM($E137:Q137),"")</f>
        <v/>
      </c>
    </row>
    <row r="138" hidden="1">
      <c r="A138" s="41" t="s">
        <v>18</v>
      </c>
      <c r="B138" s="41" t="s">
        <v>35</v>
      </c>
      <c r="C138" s="41" t="s">
        <v>25</v>
      </c>
      <c r="D138" s="59" t="s">
        <v>98</v>
      </c>
      <c r="E138" s="60">
        <f>IFERROR(VLOOKUP($D138,qboIS!$A$7:$O$112,COLUMN(E138)-2,FALSE),"")</f>
        <v>350.61</v>
      </c>
      <c r="F138" s="60" t="str">
        <f>IFERROR(VLOOKUP($D138,qboIS!$A$7:$O$112,COLUMN(F138)-2,FALSE),"")</f>
        <v/>
      </c>
      <c r="G138" s="60" t="str">
        <f>IFERROR(VLOOKUP($D138,qboIS!$A$7:$O$112,COLUMN(G138)-2,FALSE),"")</f>
        <v/>
      </c>
      <c r="H138" s="60">
        <f>IFERROR(VLOOKUP($D138,qboIS!$A$7:$O$112,COLUMN(H138)-2,FALSE),"")</f>
        <v>36.01</v>
      </c>
      <c r="I138" s="60">
        <f>IFERROR(VLOOKUP($D138,qboIS!$A$7:$O$112,COLUMN(I138)-2,FALSE),"")</f>
        <v>955.2</v>
      </c>
      <c r="J138" s="60">
        <f>IFERROR(VLOOKUP($D138,qboIS!$A$7:$O$112,COLUMN(J138)-2,FALSE),"")</f>
        <v>4141.99</v>
      </c>
      <c r="K138" s="60" t="str">
        <f>IFERROR(VLOOKUP($D138,qboIS!$A$7:$O$112,COLUMN(K138)-2,FALSE),"")</f>
        <v/>
      </c>
      <c r="L138" s="60">
        <f>IFERROR(VLOOKUP($D138,qboIS!$A$7:$O$112,COLUMN(L138)-2,FALSE),"")</f>
        <v>60.78</v>
      </c>
      <c r="M138" s="60">
        <f>IFERROR(VLOOKUP($D138,qboIS!$A$7:$O$112,COLUMN(M138)-2,FALSE),"")</f>
        <v>31.11</v>
      </c>
      <c r="N138" s="60">
        <f>IFERROR(VLOOKUP($D138,qboIS!$A$7:$O$112,COLUMN(N138)-2,FALSE),"")</f>
        <v>5575.7</v>
      </c>
      <c r="O138" s="60" t="str">
        <f>IFERROR(VLOOKUP($D138,qboIS!$A$7:$O$112,COLUMN(O138)-2,FALSE),"")</f>
        <v/>
      </c>
      <c r="P138" s="60" t="str">
        <f>IFERROR(VLOOKUP($D138,qboIS!$A$7:$O$112,COLUMN(P138)-2,FALSE),"")</f>
        <v/>
      </c>
      <c r="Q138" s="60" t="str">
        <f>IFERROR(VLOOKUP($D138,qboIS!$A$7:$O$112,COLUMN(Q138)-2,FALSE),"")</f>
        <v/>
      </c>
      <c r="R138" s="60"/>
      <c r="S138" s="60">
        <f>IF(S$1&lt;=DataSettings!$B$3,SUM($E138:E138),"")</f>
        <v>350.61</v>
      </c>
      <c r="T138" s="60">
        <f>IF(T$1&lt;=DataSettings!$B$3,SUM($E138:F138),"")</f>
        <v>350.61</v>
      </c>
      <c r="U138" s="60">
        <f>IF(U$1&lt;=DataSettings!$B$3,SUM($E138:G138),"")</f>
        <v>350.61</v>
      </c>
      <c r="V138" s="60">
        <f>IF(V$1&lt;=DataSettings!$B$3,SUM($E138:H138),"")</f>
        <v>386.62</v>
      </c>
      <c r="W138" s="60">
        <f>IF(W$1&lt;=DataSettings!$B$3,SUM($E138:I138),"")</f>
        <v>1341.82</v>
      </c>
      <c r="X138" s="60">
        <f>IF(X$1&lt;=DataSettings!$B$3,SUM($E138:J138),"")</f>
        <v>5483.81</v>
      </c>
      <c r="Y138" s="60">
        <f>IF(Y$1&lt;=DataSettings!$B$3,SUM($E138:K138),"")</f>
        <v>5483.81</v>
      </c>
      <c r="Z138" s="60">
        <f>IF(Z$1&lt;=DataSettings!$B$3,SUM($E138:L138),"")</f>
        <v>5544.59</v>
      </c>
      <c r="AA138" s="60">
        <f>IF(AA$1&lt;=DataSettings!$B$3,SUM($E138:M138),"")</f>
        <v>5575.7</v>
      </c>
      <c r="AB138" s="60" t="str">
        <f>IF(AB$1&lt;=DataSettings!$B$3,SUM($E138:N138),"")</f>
        <v/>
      </c>
      <c r="AC138" s="60" t="str">
        <f>IF(AC$1&lt;=DataSettings!$B$3,SUM($E138:O138),"")</f>
        <v/>
      </c>
      <c r="AD138" s="60" t="str">
        <f>IF(AD$1&lt;=DataSettings!$B$3,SUM($E138:P138),"")</f>
        <v/>
      </c>
      <c r="AE138" s="60" t="str">
        <f>IF(AE$1&lt;=DataSettings!$B$3,SUM($E138:Q138),"")</f>
        <v/>
      </c>
    </row>
    <row r="139" hidden="1">
      <c r="A139" s="41" t="s">
        <v>18</v>
      </c>
      <c r="B139" s="41" t="s">
        <v>35</v>
      </c>
      <c r="C139" s="41" t="s">
        <v>30</v>
      </c>
      <c r="D139" s="59" t="s">
        <v>99</v>
      </c>
      <c r="E139" s="60">
        <f>IFERROR(VLOOKUP($D139,qboIS!$A$7:$O$112,COLUMN(E139)-2,FALSE),"")</f>
        <v>3435.15</v>
      </c>
      <c r="F139" s="60">
        <f>IFERROR(VLOOKUP($D139,qboIS!$A$7:$O$112,COLUMN(F139)-2,FALSE),"")</f>
        <v>3443.43</v>
      </c>
      <c r="G139" s="60">
        <f>IFERROR(VLOOKUP($D139,qboIS!$A$7:$O$112,COLUMN(G139)-2,FALSE),"")</f>
        <v>3420</v>
      </c>
      <c r="H139" s="60">
        <f>IFERROR(VLOOKUP($D139,qboIS!$A$7:$O$112,COLUMN(H139)-2,FALSE),"")</f>
        <v>3454.18</v>
      </c>
      <c r="I139" s="60">
        <f>IFERROR(VLOOKUP($D139,qboIS!$A$7:$O$112,COLUMN(I139)-2,FALSE),"")</f>
        <v>3437.62</v>
      </c>
      <c r="J139" s="60">
        <f>IFERROR(VLOOKUP($D139,qboIS!$A$7:$O$112,COLUMN(J139)-2,FALSE),"")</f>
        <v>3457.52</v>
      </c>
      <c r="K139" s="60">
        <f>IFERROR(VLOOKUP($D139,qboIS!$A$7:$O$112,COLUMN(K139)-2,FALSE),"")</f>
        <v>3157.36</v>
      </c>
      <c r="L139" s="60">
        <f>IFERROR(VLOOKUP($D139,qboIS!$A$7:$O$112,COLUMN(L139)-2,FALSE),"")</f>
        <v>4274.3</v>
      </c>
      <c r="M139" s="60">
        <f>IFERROR(VLOOKUP($D139,qboIS!$A$7:$O$112,COLUMN(M139)-2,FALSE),"")</f>
        <v>3064.27</v>
      </c>
      <c r="N139" s="60">
        <f>IFERROR(VLOOKUP($D139,qboIS!$A$7:$O$112,COLUMN(N139)-2,FALSE),"")</f>
        <v>31143.83</v>
      </c>
      <c r="O139" s="60" t="str">
        <f>IFERROR(VLOOKUP($D139,qboIS!$A$7:$O$112,COLUMN(O139)-2,FALSE),"")</f>
        <v/>
      </c>
      <c r="P139" s="60" t="str">
        <f>IFERROR(VLOOKUP($D139,qboIS!$A$7:$O$112,COLUMN(P139)-2,FALSE),"")</f>
        <v/>
      </c>
      <c r="Q139" s="60" t="str">
        <f>IFERROR(VLOOKUP($D139,qboIS!$A$7:$O$112,COLUMN(Q139)-2,FALSE),"")</f>
        <v/>
      </c>
      <c r="R139" s="60"/>
      <c r="S139" s="60">
        <f>IF(S$1&lt;=DataSettings!$B$3,SUM($E139:E139),"")</f>
        <v>3435.15</v>
      </c>
      <c r="T139" s="60">
        <f>IF(T$1&lt;=DataSettings!$B$3,SUM($E139:F139),"")</f>
        <v>6878.58</v>
      </c>
      <c r="U139" s="60">
        <f>IF(U$1&lt;=DataSettings!$B$3,SUM($E139:G139),"")</f>
        <v>10298.58</v>
      </c>
      <c r="V139" s="60">
        <f>IF(V$1&lt;=DataSettings!$B$3,SUM($E139:H139),"")</f>
        <v>13752.76</v>
      </c>
      <c r="W139" s="60">
        <f>IF(W$1&lt;=DataSettings!$B$3,SUM($E139:I139),"")</f>
        <v>17190.38</v>
      </c>
      <c r="X139" s="60">
        <f>IF(X$1&lt;=DataSettings!$B$3,SUM($E139:J139),"")</f>
        <v>20647.9</v>
      </c>
      <c r="Y139" s="60">
        <f>IF(Y$1&lt;=DataSettings!$B$3,SUM($E139:K139),"")</f>
        <v>23805.26</v>
      </c>
      <c r="Z139" s="60">
        <f>IF(Z$1&lt;=DataSettings!$B$3,SUM($E139:L139),"")</f>
        <v>28079.56</v>
      </c>
      <c r="AA139" s="60">
        <f>IF(AA$1&lt;=DataSettings!$B$3,SUM($E139:M139),"")</f>
        <v>31143.83</v>
      </c>
      <c r="AB139" s="60" t="str">
        <f>IF(AB$1&lt;=DataSettings!$B$3,SUM($E139:N139),"")</f>
        <v/>
      </c>
      <c r="AC139" s="60" t="str">
        <f>IF(AC$1&lt;=DataSettings!$B$3,SUM($E139:O139),"")</f>
        <v/>
      </c>
      <c r="AD139" s="60" t="str">
        <f>IF(AD$1&lt;=DataSettings!$B$3,SUM($E139:P139),"")</f>
        <v/>
      </c>
      <c r="AE139" s="60" t="str">
        <f>IF(AE$1&lt;=DataSettings!$B$3,SUM($E139:Q139),"")</f>
        <v/>
      </c>
    </row>
    <row r="140" hidden="1">
      <c r="A140" s="41" t="s">
        <v>18</v>
      </c>
      <c r="B140" s="41" t="s">
        <v>35</v>
      </c>
      <c r="C140" s="41" t="s">
        <v>30</v>
      </c>
      <c r="D140" s="59" t="s">
        <v>100</v>
      </c>
      <c r="E140" s="60">
        <f>IFERROR(VLOOKUP($D140,qboIS!$A$7:$O$112,COLUMN(E140)-2,FALSE),"")</f>
        <v>232.59</v>
      </c>
      <c r="F140" s="60">
        <f>IFERROR(VLOOKUP($D140,qboIS!$A$7:$O$112,COLUMN(F140)-2,FALSE),"")</f>
        <v>232.59</v>
      </c>
      <c r="G140" s="60">
        <f>IFERROR(VLOOKUP($D140,qboIS!$A$7:$O$112,COLUMN(G140)-2,FALSE),"")</f>
        <v>429.26</v>
      </c>
      <c r="H140" s="60">
        <f>IFERROR(VLOOKUP($D140,qboIS!$A$7:$O$112,COLUMN(H140)-2,FALSE),"")</f>
        <v>232.59</v>
      </c>
      <c r="I140" s="60">
        <f>IFERROR(VLOOKUP($D140,qboIS!$A$7:$O$112,COLUMN(I140)-2,FALSE),"")</f>
        <v>232.59</v>
      </c>
      <c r="J140" s="60">
        <f>IFERROR(VLOOKUP($D140,qboIS!$A$7:$O$112,COLUMN(J140)-2,FALSE),"")</f>
        <v>873.95</v>
      </c>
      <c r="K140" s="60">
        <f>IFERROR(VLOOKUP($D140,qboIS!$A$7:$O$112,COLUMN(K140)-2,FALSE),"")</f>
        <v>232.59</v>
      </c>
      <c r="L140" s="60">
        <f>IFERROR(VLOOKUP($D140,qboIS!$A$7:$O$112,COLUMN(L140)-2,FALSE),"")</f>
        <v>232.59</v>
      </c>
      <c r="M140" s="60">
        <f>IFERROR(VLOOKUP($D140,qboIS!$A$7:$O$112,COLUMN(M140)-2,FALSE),"")</f>
        <v>600.21</v>
      </c>
      <c r="N140" s="60">
        <f>IFERROR(VLOOKUP($D140,qboIS!$A$7:$O$112,COLUMN(N140)-2,FALSE),"")</f>
        <v>3298.96</v>
      </c>
      <c r="O140" s="60" t="str">
        <f>IFERROR(VLOOKUP($D140,qboIS!$A$7:$O$112,COLUMN(O140)-2,FALSE),"")</f>
        <v/>
      </c>
      <c r="P140" s="60" t="str">
        <f>IFERROR(VLOOKUP($D140,qboIS!$A$7:$O$112,COLUMN(P140)-2,FALSE),"")</f>
        <v/>
      </c>
      <c r="Q140" s="60" t="str">
        <f>IFERROR(VLOOKUP($D140,qboIS!$A$7:$O$112,COLUMN(Q140)-2,FALSE),"")</f>
        <v/>
      </c>
      <c r="R140" s="60"/>
      <c r="S140" s="60">
        <f>IF(S$1&lt;=DataSettings!$B$3,SUM($E140:E140),"")</f>
        <v>232.59</v>
      </c>
      <c r="T140" s="60">
        <f>IF(T$1&lt;=DataSettings!$B$3,SUM($E140:F140),"")</f>
        <v>465.18</v>
      </c>
      <c r="U140" s="60">
        <f>IF(U$1&lt;=DataSettings!$B$3,SUM($E140:G140),"")</f>
        <v>894.44</v>
      </c>
      <c r="V140" s="60">
        <f>IF(V$1&lt;=DataSettings!$B$3,SUM($E140:H140),"")</f>
        <v>1127.03</v>
      </c>
      <c r="W140" s="60">
        <f>IF(W$1&lt;=DataSettings!$B$3,SUM($E140:I140),"")</f>
        <v>1359.62</v>
      </c>
      <c r="X140" s="60">
        <f>IF(X$1&lt;=DataSettings!$B$3,SUM($E140:J140),"")</f>
        <v>2233.57</v>
      </c>
      <c r="Y140" s="60">
        <f>IF(Y$1&lt;=DataSettings!$B$3,SUM($E140:K140),"")</f>
        <v>2466.16</v>
      </c>
      <c r="Z140" s="60">
        <f>IF(Z$1&lt;=DataSettings!$B$3,SUM($E140:L140),"")</f>
        <v>2698.75</v>
      </c>
      <c r="AA140" s="60">
        <f>IF(AA$1&lt;=DataSettings!$B$3,SUM($E140:M140),"")</f>
        <v>3298.96</v>
      </c>
      <c r="AB140" s="60" t="str">
        <f>IF(AB$1&lt;=DataSettings!$B$3,SUM($E140:N140),"")</f>
        <v/>
      </c>
      <c r="AC140" s="60" t="str">
        <f>IF(AC$1&lt;=DataSettings!$B$3,SUM($E140:O140),"")</f>
        <v/>
      </c>
      <c r="AD140" s="60" t="str">
        <f>IF(AD$1&lt;=DataSettings!$B$3,SUM($E140:P140),"")</f>
        <v/>
      </c>
      <c r="AE140" s="60" t="str">
        <f>IF(AE$1&lt;=DataSettings!$B$3,SUM($E140:Q140),"")</f>
        <v/>
      </c>
    </row>
    <row r="141" hidden="1">
      <c r="A141" s="41" t="s">
        <v>18</v>
      </c>
      <c r="B141" s="41" t="s">
        <v>35</v>
      </c>
      <c r="C141" s="41" t="s">
        <v>27</v>
      </c>
      <c r="D141" s="59" t="s">
        <v>101</v>
      </c>
      <c r="E141" s="60">
        <f>IFERROR(VLOOKUP($D141,qboIS!$A$7:$O$112,COLUMN(E141)-2,FALSE),"")</f>
        <v>169.4</v>
      </c>
      <c r="F141" s="60">
        <f>IFERROR(VLOOKUP($D141,qboIS!$A$7:$O$112,COLUMN(F141)-2,FALSE),"")</f>
        <v>169.4</v>
      </c>
      <c r="G141" s="60">
        <f>IFERROR(VLOOKUP($D141,qboIS!$A$7:$O$112,COLUMN(G141)-2,FALSE),"")</f>
        <v>169.4</v>
      </c>
      <c r="H141" s="60">
        <f>IFERROR(VLOOKUP($D141,qboIS!$A$7:$O$112,COLUMN(H141)-2,FALSE),"")</f>
        <v>169.4</v>
      </c>
      <c r="I141" s="60">
        <f>IFERROR(VLOOKUP($D141,qboIS!$A$7:$O$112,COLUMN(I141)-2,FALSE),"")</f>
        <v>169.4</v>
      </c>
      <c r="J141" s="60">
        <f>IFERROR(VLOOKUP($D141,qboIS!$A$7:$O$112,COLUMN(J141)-2,FALSE),"")</f>
        <v>169.4</v>
      </c>
      <c r="K141" s="60">
        <f>IFERROR(VLOOKUP($D141,qboIS!$A$7:$O$112,COLUMN(K141)-2,FALSE),"")</f>
        <v>48</v>
      </c>
      <c r="L141" s="60" t="str">
        <f>IFERROR(VLOOKUP($D141,qboIS!$A$7:$O$112,COLUMN(L141)-2,FALSE),"")</f>
        <v/>
      </c>
      <c r="M141" s="60" t="str">
        <f>IFERROR(VLOOKUP($D141,qboIS!$A$7:$O$112,COLUMN(M141)-2,FALSE),"")</f>
        <v/>
      </c>
      <c r="N141" s="60">
        <f>IFERROR(VLOOKUP($D141,qboIS!$A$7:$O$112,COLUMN(N141)-2,FALSE),"")</f>
        <v>1064.4</v>
      </c>
      <c r="O141" s="60" t="str">
        <f>IFERROR(VLOOKUP($D141,qboIS!$A$7:$O$112,COLUMN(O141)-2,FALSE),"")</f>
        <v/>
      </c>
      <c r="P141" s="60" t="str">
        <f>IFERROR(VLOOKUP($D141,qboIS!$A$7:$O$112,COLUMN(P141)-2,FALSE),"")</f>
        <v/>
      </c>
      <c r="Q141" s="60" t="str">
        <f>IFERROR(VLOOKUP($D141,qboIS!$A$7:$O$112,COLUMN(Q141)-2,FALSE),"")</f>
        <v/>
      </c>
      <c r="R141" s="60"/>
      <c r="S141" s="60">
        <f>IF(S$1&lt;=DataSettings!$B$3,SUM($E141:E141),"")</f>
        <v>169.4</v>
      </c>
      <c r="T141" s="60">
        <f>IF(T$1&lt;=DataSettings!$B$3,SUM($E141:F141),"")</f>
        <v>338.8</v>
      </c>
      <c r="U141" s="60">
        <f>IF(U$1&lt;=DataSettings!$B$3,SUM($E141:G141),"")</f>
        <v>508.2</v>
      </c>
      <c r="V141" s="60">
        <f>IF(V$1&lt;=DataSettings!$B$3,SUM($E141:H141),"")</f>
        <v>677.6</v>
      </c>
      <c r="W141" s="60">
        <f>IF(W$1&lt;=DataSettings!$B$3,SUM($E141:I141),"")</f>
        <v>847</v>
      </c>
      <c r="X141" s="60">
        <f>IF(X$1&lt;=DataSettings!$B$3,SUM($E141:J141),"")</f>
        <v>1016.4</v>
      </c>
      <c r="Y141" s="60">
        <f>IF(Y$1&lt;=DataSettings!$B$3,SUM($E141:K141),"")</f>
        <v>1064.4</v>
      </c>
      <c r="Z141" s="60">
        <f>IF(Z$1&lt;=DataSettings!$B$3,SUM($E141:L141),"")</f>
        <v>1064.4</v>
      </c>
      <c r="AA141" s="60">
        <f>IF(AA$1&lt;=DataSettings!$B$3,SUM($E141:M141),"")</f>
        <v>1064.4</v>
      </c>
      <c r="AB141" s="60" t="str">
        <f>IF(AB$1&lt;=DataSettings!$B$3,SUM($E141:N141),"")</f>
        <v/>
      </c>
      <c r="AC141" s="60" t="str">
        <f>IF(AC$1&lt;=DataSettings!$B$3,SUM($E141:O141),"")</f>
        <v/>
      </c>
      <c r="AD141" s="60" t="str">
        <f>IF(AD$1&lt;=DataSettings!$B$3,SUM($E141:P141),"")</f>
        <v/>
      </c>
      <c r="AE141" s="60" t="str">
        <f>IF(AE$1&lt;=DataSettings!$B$3,SUM($E141:Q141),"")</f>
        <v/>
      </c>
    </row>
    <row r="142" hidden="1">
      <c r="A142" s="41" t="s">
        <v>18</v>
      </c>
      <c r="B142" s="41" t="s">
        <v>35</v>
      </c>
      <c r="C142" s="41" t="s">
        <v>30</v>
      </c>
      <c r="D142" s="59" t="s">
        <v>102</v>
      </c>
      <c r="E142" s="60">
        <f>IFERROR(VLOOKUP($D142,qboIS!$A$7:$O$112,COLUMN(E142)-2,FALSE),"")</f>
        <v>6758.02</v>
      </c>
      <c r="F142" s="60" t="str">
        <f>IFERROR(VLOOKUP($D142,qboIS!$A$7:$O$112,COLUMN(F142)-2,FALSE),"")</f>
        <v/>
      </c>
      <c r="G142" s="60" t="str">
        <f>IFERROR(VLOOKUP($D142,qboIS!$A$7:$O$112,COLUMN(G142)-2,FALSE),"")</f>
        <v/>
      </c>
      <c r="H142" s="60" t="str">
        <f>IFERROR(VLOOKUP($D142,qboIS!$A$7:$O$112,COLUMN(H142)-2,FALSE),"")</f>
        <v/>
      </c>
      <c r="I142" s="60" t="str">
        <f>IFERROR(VLOOKUP($D142,qboIS!$A$7:$O$112,COLUMN(I142)-2,FALSE),"")</f>
        <v/>
      </c>
      <c r="J142" s="60" t="str">
        <f>IFERROR(VLOOKUP($D142,qboIS!$A$7:$O$112,COLUMN(J142)-2,FALSE),"")</f>
        <v/>
      </c>
      <c r="K142" s="60" t="str">
        <f>IFERROR(VLOOKUP($D142,qboIS!$A$7:$O$112,COLUMN(K142)-2,FALSE),"")</f>
        <v/>
      </c>
      <c r="L142" s="60" t="str">
        <f>IFERROR(VLOOKUP($D142,qboIS!$A$7:$O$112,COLUMN(L142)-2,FALSE),"")</f>
        <v/>
      </c>
      <c r="M142" s="60" t="str">
        <f>IFERROR(VLOOKUP($D142,qboIS!$A$7:$O$112,COLUMN(M142)-2,FALSE),"")</f>
        <v/>
      </c>
      <c r="N142" s="60">
        <f>IFERROR(VLOOKUP($D142,qboIS!$A$7:$O$112,COLUMN(N142)-2,FALSE),"")</f>
        <v>6758.02</v>
      </c>
      <c r="O142" s="60" t="str">
        <f>IFERROR(VLOOKUP($D142,qboIS!$A$7:$O$112,COLUMN(O142)-2,FALSE),"")</f>
        <v/>
      </c>
      <c r="P142" s="60" t="str">
        <f>IFERROR(VLOOKUP($D142,qboIS!$A$7:$O$112,COLUMN(P142)-2,FALSE),"")</f>
        <v/>
      </c>
      <c r="Q142" s="60" t="str">
        <f>IFERROR(VLOOKUP($D142,qboIS!$A$7:$O$112,COLUMN(Q142)-2,FALSE),"")</f>
        <v/>
      </c>
      <c r="R142" s="60"/>
      <c r="S142" s="60">
        <f>IF(S$1&lt;=DataSettings!$B$3,SUM($E142:E142),"")</f>
        <v>6758.02</v>
      </c>
      <c r="T142" s="60">
        <f>IF(T$1&lt;=DataSettings!$B$3,SUM($E142:F142),"")</f>
        <v>6758.02</v>
      </c>
      <c r="U142" s="60">
        <f>IF(U$1&lt;=DataSettings!$B$3,SUM($E142:G142),"")</f>
        <v>6758.02</v>
      </c>
      <c r="V142" s="60">
        <f>IF(V$1&lt;=DataSettings!$B$3,SUM($E142:H142),"")</f>
        <v>6758.02</v>
      </c>
      <c r="W142" s="60">
        <f>IF(W$1&lt;=DataSettings!$B$3,SUM($E142:I142),"")</f>
        <v>6758.02</v>
      </c>
      <c r="X142" s="60">
        <f>IF(X$1&lt;=DataSettings!$B$3,SUM($E142:J142),"")</f>
        <v>6758.02</v>
      </c>
      <c r="Y142" s="60">
        <f>IF(Y$1&lt;=DataSettings!$B$3,SUM($E142:K142),"")</f>
        <v>6758.02</v>
      </c>
      <c r="Z142" s="60">
        <f>IF(Z$1&lt;=DataSettings!$B$3,SUM($E142:L142),"")</f>
        <v>6758.02</v>
      </c>
      <c r="AA142" s="60">
        <f>IF(AA$1&lt;=DataSettings!$B$3,SUM($E142:M142),"")</f>
        <v>6758.02</v>
      </c>
      <c r="AB142" s="60" t="str">
        <f>IF(AB$1&lt;=DataSettings!$B$3,SUM($E142:N142),"")</f>
        <v/>
      </c>
      <c r="AC142" s="60" t="str">
        <f>IF(AC$1&lt;=DataSettings!$B$3,SUM($E142:O142),"")</f>
        <v/>
      </c>
      <c r="AD142" s="60" t="str">
        <f>IF(AD$1&lt;=DataSettings!$B$3,SUM($E142:P142),"")</f>
        <v/>
      </c>
      <c r="AE142" s="60" t="str">
        <f>IF(AE$1&lt;=DataSettings!$B$3,SUM($E142:Q142),"")</f>
        <v/>
      </c>
    </row>
    <row r="143" hidden="1">
      <c r="A143" s="41" t="s">
        <v>18</v>
      </c>
      <c r="B143" s="41" t="s">
        <v>35</v>
      </c>
      <c r="C143" s="41" t="s">
        <v>30</v>
      </c>
      <c r="D143" s="59" t="s">
        <v>103</v>
      </c>
      <c r="E143" s="60">
        <f>IFERROR(VLOOKUP($D143,qboIS!$A$7:$O$112,COLUMN(E143)-2,FALSE),"")</f>
        <v>27790.5</v>
      </c>
      <c r="F143" s="60">
        <f>IFERROR(VLOOKUP($D143,qboIS!$A$7:$O$112,COLUMN(F143)-2,FALSE),"")</f>
        <v>13439.02</v>
      </c>
      <c r="G143" s="60">
        <f>IFERROR(VLOOKUP($D143,qboIS!$A$7:$O$112,COLUMN(G143)-2,FALSE),"")</f>
        <v>8431.09</v>
      </c>
      <c r="H143" s="60">
        <f>IFERROR(VLOOKUP($D143,qboIS!$A$7:$O$112,COLUMN(H143)-2,FALSE),"")</f>
        <v>16357.72</v>
      </c>
      <c r="I143" s="60">
        <f>IFERROR(VLOOKUP($D143,qboIS!$A$7:$O$112,COLUMN(I143)-2,FALSE),"")</f>
        <v>11070.54</v>
      </c>
      <c r="J143" s="60">
        <f>IFERROR(VLOOKUP($D143,qboIS!$A$7:$O$112,COLUMN(J143)-2,FALSE),"")</f>
        <v>14749.16</v>
      </c>
      <c r="K143" s="60">
        <f>IFERROR(VLOOKUP($D143,qboIS!$A$7:$O$112,COLUMN(K143)-2,FALSE),"")</f>
        <v>19986.24</v>
      </c>
      <c r="L143" s="60">
        <f>IFERROR(VLOOKUP($D143,qboIS!$A$7:$O$112,COLUMN(L143)-2,FALSE),"")</f>
        <v>18505.32</v>
      </c>
      <c r="M143" s="60">
        <f>IFERROR(VLOOKUP($D143,qboIS!$A$7:$O$112,COLUMN(M143)-2,FALSE),"")</f>
        <v>31893.27</v>
      </c>
      <c r="N143" s="60">
        <f>IFERROR(VLOOKUP($D143,qboIS!$A$7:$O$112,COLUMN(N143)-2,FALSE),"")</f>
        <v>162222.86</v>
      </c>
      <c r="O143" s="60" t="str">
        <f>IFERROR(VLOOKUP($D143,qboIS!$A$7:$O$112,COLUMN(O143)-2,FALSE),"")</f>
        <v/>
      </c>
      <c r="P143" s="60" t="str">
        <f>IFERROR(VLOOKUP($D143,qboIS!$A$7:$O$112,COLUMN(P143)-2,FALSE),"")</f>
        <v/>
      </c>
      <c r="Q143" s="60" t="str">
        <f>IFERROR(VLOOKUP($D143,qboIS!$A$7:$O$112,COLUMN(Q143)-2,FALSE),"")</f>
        <v/>
      </c>
      <c r="R143" s="60"/>
      <c r="S143" s="60">
        <f>IF(S$1&lt;=DataSettings!$B$3,SUM($E143:E143),"")</f>
        <v>27790.5</v>
      </c>
      <c r="T143" s="60">
        <f>IF(T$1&lt;=DataSettings!$B$3,SUM($E143:F143),"")</f>
        <v>41229.52</v>
      </c>
      <c r="U143" s="60">
        <f>IF(U$1&lt;=DataSettings!$B$3,SUM($E143:G143),"")</f>
        <v>49660.61</v>
      </c>
      <c r="V143" s="60">
        <f>IF(V$1&lt;=DataSettings!$B$3,SUM($E143:H143),"")</f>
        <v>66018.33</v>
      </c>
      <c r="W143" s="60">
        <f>IF(W$1&lt;=DataSettings!$B$3,SUM($E143:I143),"")</f>
        <v>77088.87</v>
      </c>
      <c r="X143" s="60">
        <f>IF(X$1&lt;=DataSettings!$B$3,SUM($E143:J143),"")</f>
        <v>91838.03</v>
      </c>
      <c r="Y143" s="60">
        <f>IF(Y$1&lt;=DataSettings!$B$3,SUM($E143:K143),"")</f>
        <v>111824.27</v>
      </c>
      <c r="Z143" s="60">
        <f>IF(Z$1&lt;=DataSettings!$B$3,SUM($E143:L143),"")</f>
        <v>130329.59</v>
      </c>
      <c r="AA143" s="60">
        <f>IF(AA$1&lt;=DataSettings!$B$3,SUM($E143:M143),"")</f>
        <v>162222.86</v>
      </c>
      <c r="AB143" s="60" t="str">
        <f>IF(AB$1&lt;=DataSettings!$B$3,SUM($E143:N143),"")</f>
        <v/>
      </c>
      <c r="AC143" s="60" t="str">
        <f>IF(AC$1&lt;=DataSettings!$B$3,SUM($E143:O143),"")</f>
        <v/>
      </c>
      <c r="AD143" s="60" t="str">
        <f>IF(AD$1&lt;=DataSettings!$B$3,SUM($E143:P143),"")</f>
        <v/>
      </c>
      <c r="AE143" s="60" t="str">
        <f>IF(AE$1&lt;=DataSettings!$B$3,SUM($E143:Q143),"")</f>
        <v/>
      </c>
    </row>
    <row r="144" hidden="1">
      <c r="A144" s="41" t="s">
        <v>18</v>
      </c>
      <c r="B144" s="41" t="s">
        <v>35</v>
      </c>
      <c r="C144" s="41" t="s">
        <v>30</v>
      </c>
      <c r="D144" s="59" t="s">
        <v>104</v>
      </c>
      <c r="E144" s="60" t="str">
        <f>IFERROR(VLOOKUP($D144,qboIS!$A$7:$O$112,COLUMN(E144)-2,FALSE),"")</f>
        <v/>
      </c>
      <c r="F144" s="60" t="str">
        <f>IFERROR(VLOOKUP($D144,qboIS!$A$7:$O$112,COLUMN(F144)-2,FALSE),"")</f>
        <v/>
      </c>
      <c r="G144" s="60" t="str">
        <f>IFERROR(VLOOKUP($D144,qboIS!$A$7:$O$112,COLUMN(G144)-2,FALSE),"")</f>
        <v/>
      </c>
      <c r="H144" s="60" t="str">
        <f>IFERROR(VLOOKUP($D144,qboIS!$A$7:$O$112,COLUMN(H144)-2,FALSE),"")</f>
        <v/>
      </c>
      <c r="I144" s="60" t="str">
        <f>IFERROR(VLOOKUP($D144,qboIS!$A$7:$O$112,COLUMN(I144)-2,FALSE),"")</f>
        <v/>
      </c>
      <c r="J144" s="60" t="str">
        <f>IFERROR(VLOOKUP($D144,qboIS!$A$7:$O$112,COLUMN(J144)-2,FALSE),"")</f>
        <v/>
      </c>
      <c r="K144" s="60" t="str">
        <f>IFERROR(VLOOKUP($D144,qboIS!$A$7:$O$112,COLUMN(K144)-2,FALSE),"")</f>
        <v/>
      </c>
      <c r="L144" s="60" t="str">
        <f>IFERROR(VLOOKUP($D144,qboIS!$A$7:$O$112,COLUMN(L144)-2,FALSE),"")</f>
        <v/>
      </c>
      <c r="M144" s="60" t="str">
        <f>IFERROR(VLOOKUP($D144,qboIS!$A$7:$O$112,COLUMN(M144)-2,FALSE),"")</f>
        <v/>
      </c>
      <c r="N144" s="60" t="str">
        <f>IFERROR(VLOOKUP($D144,qboIS!$A$7:$O$112,COLUMN(N144)-2,FALSE),"")</f>
        <v/>
      </c>
      <c r="O144" s="60" t="str">
        <f>IFERROR(VLOOKUP($D144,qboIS!$A$7:$O$112,COLUMN(O144)-2,FALSE),"")</f>
        <v/>
      </c>
      <c r="P144" s="60" t="str">
        <f>IFERROR(VLOOKUP($D144,qboIS!$A$7:$O$112,COLUMN(P144)-2,FALSE),"")</f>
        <v/>
      </c>
      <c r="Q144" s="60" t="str">
        <f>IFERROR(VLOOKUP($D144,qboIS!$A$7:$O$112,COLUMN(Q144)-2,FALSE),"")</f>
        <v/>
      </c>
      <c r="R144" s="60"/>
      <c r="S144" s="60">
        <f>IF(S$1&lt;=DataSettings!$B$3,SUM($E144:E144),"")</f>
        <v>0</v>
      </c>
      <c r="T144" s="60">
        <f>IF(T$1&lt;=DataSettings!$B$3,SUM($E144:F144),"")</f>
        <v>0</v>
      </c>
      <c r="U144" s="60">
        <f>IF(U$1&lt;=DataSettings!$B$3,SUM($E144:G144),"")</f>
        <v>0</v>
      </c>
      <c r="V144" s="60">
        <f>IF(V$1&lt;=DataSettings!$B$3,SUM($E144:H144),"")</f>
        <v>0</v>
      </c>
      <c r="W144" s="60">
        <f>IF(W$1&lt;=DataSettings!$B$3,SUM($E144:I144),"")</f>
        <v>0</v>
      </c>
      <c r="X144" s="60">
        <f>IF(X$1&lt;=DataSettings!$B$3,SUM($E144:J144),"")</f>
        <v>0</v>
      </c>
      <c r="Y144" s="60">
        <f>IF(Y$1&lt;=DataSettings!$B$3,SUM($E144:K144),"")</f>
        <v>0</v>
      </c>
      <c r="Z144" s="60">
        <f>IF(Z$1&lt;=DataSettings!$B$3,SUM($E144:L144),"")</f>
        <v>0</v>
      </c>
      <c r="AA144" s="60">
        <f>IF(AA$1&lt;=DataSettings!$B$3,SUM($E144:M144),"")</f>
        <v>0</v>
      </c>
      <c r="AB144" s="60" t="str">
        <f>IF(AB$1&lt;=DataSettings!$B$3,SUM($E144:N144),"")</f>
        <v/>
      </c>
      <c r="AC144" s="60" t="str">
        <f>IF(AC$1&lt;=DataSettings!$B$3,SUM($E144:O144),"")</f>
        <v/>
      </c>
      <c r="AD144" s="60" t="str">
        <f>IF(AD$1&lt;=DataSettings!$B$3,SUM($E144:P144),"")</f>
        <v/>
      </c>
      <c r="AE144" s="60" t="str">
        <f>IF(AE$1&lt;=DataSettings!$B$3,SUM($E144:Q144),"")</f>
        <v/>
      </c>
    </row>
    <row r="145" hidden="1">
      <c r="A145" s="41" t="s">
        <v>18</v>
      </c>
      <c r="B145" s="41" t="s">
        <v>35</v>
      </c>
      <c r="C145" s="41" t="s">
        <v>27</v>
      </c>
      <c r="D145" s="59" t="s">
        <v>105</v>
      </c>
      <c r="E145" s="60">
        <f>IFERROR(VLOOKUP($D145,qboIS!$A$7:$O$112,COLUMN(E145)-2,FALSE),"")</f>
        <v>32314.2</v>
      </c>
      <c r="F145" s="60">
        <f>IFERROR(VLOOKUP($D145,qboIS!$A$7:$O$112,COLUMN(F145)-2,FALSE),"")</f>
        <v>150</v>
      </c>
      <c r="G145" s="60">
        <f>IFERROR(VLOOKUP($D145,qboIS!$A$7:$O$112,COLUMN(G145)-2,FALSE),"")</f>
        <v>109.46</v>
      </c>
      <c r="H145" s="60">
        <f>IFERROR(VLOOKUP($D145,qboIS!$A$7:$O$112,COLUMN(H145)-2,FALSE),"")</f>
        <v>567.34</v>
      </c>
      <c r="I145" s="60">
        <f>IFERROR(VLOOKUP($D145,qboIS!$A$7:$O$112,COLUMN(I145)-2,FALSE),"")</f>
        <v>28.04</v>
      </c>
      <c r="J145" s="60">
        <f>IFERROR(VLOOKUP($D145,qboIS!$A$7:$O$112,COLUMN(J145)-2,FALSE),"")</f>
        <v>7946.07</v>
      </c>
      <c r="K145" s="60" t="str">
        <f>IFERROR(VLOOKUP($D145,qboIS!$A$7:$O$112,COLUMN(K145)-2,FALSE),"")</f>
        <v/>
      </c>
      <c r="L145" s="60">
        <f>IFERROR(VLOOKUP($D145,qboIS!$A$7:$O$112,COLUMN(L145)-2,FALSE),"")</f>
        <v>20.74</v>
      </c>
      <c r="M145" s="60">
        <f>IFERROR(VLOOKUP($D145,qboIS!$A$7:$O$112,COLUMN(M145)-2,FALSE),"")</f>
        <v>30</v>
      </c>
      <c r="N145" s="60">
        <f>IFERROR(VLOOKUP($D145,qboIS!$A$7:$O$112,COLUMN(N145)-2,FALSE),"")</f>
        <v>41165.85</v>
      </c>
      <c r="O145" s="60" t="str">
        <f>IFERROR(VLOOKUP($D145,qboIS!$A$7:$O$112,COLUMN(O145)-2,FALSE),"")</f>
        <v/>
      </c>
      <c r="P145" s="60" t="str">
        <f>IFERROR(VLOOKUP($D145,qboIS!$A$7:$O$112,COLUMN(P145)-2,FALSE),"")</f>
        <v/>
      </c>
      <c r="Q145" s="60" t="str">
        <f>IFERROR(VLOOKUP($D145,qboIS!$A$7:$O$112,COLUMN(Q145)-2,FALSE),"")</f>
        <v/>
      </c>
      <c r="R145" s="60"/>
      <c r="S145" s="60">
        <f>IF(S$1&lt;=DataSettings!$B$3,SUM($E145:E145),"")</f>
        <v>32314.2</v>
      </c>
      <c r="T145" s="60">
        <f>IF(T$1&lt;=DataSettings!$B$3,SUM($E145:F145),"")</f>
        <v>32464.2</v>
      </c>
      <c r="U145" s="60">
        <f>IF(U$1&lt;=DataSettings!$B$3,SUM($E145:G145),"")</f>
        <v>32573.66</v>
      </c>
      <c r="V145" s="60">
        <f>IF(V$1&lt;=DataSettings!$B$3,SUM($E145:H145),"")</f>
        <v>33141</v>
      </c>
      <c r="W145" s="60">
        <f>IF(W$1&lt;=DataSettings!$B$3,SUM($E145:I145),"")</f>
        <v>33169.04</v>
      </c>
      <c r="X145" s="60">
        <f>IF(X$1&lt;=DataSettings!$B$3,SUM($E145:J145),"")</f>
        <v>41115.11</v>
      </c>
      <c r="Y145" s="60">
        <f>IF(Y$1&lt;=DataSettings!$B$3,SUM($E145:K145),"")</f>
        <v>41115.11</v>
      </c>
      <c r="Z145" s="60">
        <f>IF(Z$1&lt;=DataSettings!$B$3,SUM($E145:L145),"")</f>
        <v>41135.85</v>
      </c>
      <c r="AA145" s="60">
        <f>IF(AA$1&lt;=DataSettings!$B$3,SUM($E145:M145),"")</f>
        <v>41165.85</v>
      </c>
      <c r="AB145" s="60" t="str">
        <f>IF(AB$1&lt;=DataSettings!$B$3,SUM($E145:N145),"")</f>
        <v/>
      </c>
      <c r="AC145" s="60" t="str">
        <f>IF(AC$1&lt;=DataSettings!$B$3,SUM($E145:O145),"")</f>
        <v/>
      </c>
      <c r="AD145" s="60" t="str">
        <f>IF(AD$1&lt;=DataSettings!$B$3,SUM($E145:P145),"")</f>
        <v/>
      </c>
      <c r="AE145" s="60" t="str">
        <f>IF(AE$1&lt;=DataSettings!$B$3,SUM($E145:Q145),"")</f>
        <v/>
      </c>
    </row>
    <row r="146" hidden="1">
      <c r="A146" s="41" t="s">
        <v>18</v>
      </c>
      <c r="B146" s="41" t="s">
        <v>35</v>
      </c>
      <c r="C146" s="41" t="s">
        <v>26</v>
      </c>
      <c r="D146" s="59" t="s">
        <v>106</v>
      </c>
      <c r="E146" s="60">
        <f>IFERROR(VLOOKUP($D146,qboIS!$A$7:$O$112,COLUMN(E146)-2,FALSE),"")</f>
        <v>19343.47</v>
      </c>
      <c r="F146" s="60">
        <f>IFERROR(VLOOKUP($D146,qboIS!$A$7:$O$112,COLUMN(F146)-2,FALSE),"")</f>
        <v>99618.47</v>
      </c>
      <c r="G146" s="60">
        <f>IFERROR(VLOOKUP($D146,qboIS!$A$7:$O$112,COLUMN(G146)-2,FALSE),"")</f>
        <v>77620.45</v>
      </c>
      <c r="H146" s="60">
        <f>IFERROR(VLOOKUP($D146,qboIS!$A$7:$O$112,COLUMN(H146)-2,FALSE),"")</f>
        <v>68677.22</v>
      </c>
      <c r="I146" s="60">
        <f>IFERROR(VLOOKUP($D146,qboIS!$A$7:$O$112,COLUMN(I146)-2,FALSE),"")</f>
        <v>137604.44</v>
      </c>
      <c r="J146" s="60" t="str">
        <f>IFERROR(VLOOKUP($D146,qboIS!$A$7:$O$112,COLUMN(J146)-2,FALSE),"")</f>
        <v/>
      </c>
      <c r="K146" s="60">
        <f>IFERROR(VLOOKUP($D146,qboIS!$A$7:$O$112,COLUMN(K146)-2,FALSE),"")</f>
        <v>137354.44</v>
      </c>
      <c r="L146" s="60">
        <f>IFERROR(VLOOKUP($D146,qboIS!$A$7:$O$112,COLUMN(L146)-2,FALSE),"")</f>
        <v>1071</v>
      </c>
      <c r="M146" s="60">
        <f>IFERROR(VLOOKUP($D146,qboIS!$A$7:$O$112,COLUMN(M146)-2,FALSE),"")</f>
        <v>69510.22</v>
      </c>
      <c r="N146" s="60">
        <f>IFERROR(VLOOKUP($D146,qboIS!$A$7:$O$112,COLUMN(N146)-2,FALSE),"")</f>
        <v>610799.71</v>
      </c>
      <c r="O146" s="60" t="str">
        <f>IFERROR(VLOOKUP($D146,qboIS!$A$7:$O$112,COLUMN(O146)-2,FALSE),"")</f>
        <v/>
      </c>
      <c r="P146" s="60" t="str">
        <f>IFERROR(VLOOKUP($D146,qboIS!$A$7:$O$112,COLUMN(P146)-2,FALSE),"")</f>
        <v/>
      </c>
      <c r="Q146" s="60" t="str">
        <f>IFERROR(VLOOKUP($D146,qboIS!$A$7:$O$112,COLUMN(Q146)-2,FALSE),"")</f>
        <v/>
      </c>
      <c r="R146" s="60"/>
      <c r="S146" s="60">
        <f>IF(S$1&lt;=DataSettings!$B$3,SUM($E146:E146),"")</f>
        <v>19343.47</v>
      </c>
      <c r="T146" s="60">
        <f>IF(T$1&lt;=DataSettings!$B$3,SUM($E146:F146),"")</f>
        <v>118961.94</v>
      </c>
      <c r="U146" s="60">
        <f>IF(U$1&lt;=DataSettings!$B$3,SUM($E146:G146),"")</f>
        <v>196582.39</v>
      </c>
      <c r="V146" s="60">
        <f>IF(V$1&lt;=DataSettings!$B$3,SUM($E146:H146),"")</f>
        <v>265259.61</v>
      </c>
      <c r="W146" s="60">
        <f>IF(W$1&lt;=DataSettings!$B$3,SUM($E146:I146),"")</f>
        <v>402864.05</v>
      </c>
      <c r="X146" s="60">
        <f>IF(X$1&lt;=DataSettings!$B$3,SUM($E146:J146),"")</f>
        <v>402864.05</v>
      </c>
      <c r="Y146" s="60">
        <f>IF(Y$1&lt;=DataSettings!$B$3,SUM($E146:K146),"")</f>
        <v>540218.49</v>
      </c>
      <c r="Z146" s="60">
        <f>IF(Z$1&lt;=DataSettings!$B$3,SUM($E146:L146),"")</f>
        <v>541289.49</v>
      </c>
      <c r="AA146" s="60">
        <f>IF(AA$1&lt;=DataSettings!$B$3,SUM($E146:M146),"")</f>
        <v>610799.71</v>
      </c>
      <c r="AB146" s="60" t="str">
        <f>IF(AB$1&lt;=DataSettings!$B$3,SUM($E146:N146),"")</f>
        <v/>
      </c>
      <c r="AC146" s="60" t="str">
        <f>IF(AC$1&lt;=DataSettings!$B$3,SUM($E146:O146),"")</f>
        <v/>
      </c>
      <c r="AD146" s="60" t="str">
        <f>IF(AD$1&lt;=DataSettings!$B$3,SUM($E146:P146),"")</f>
        <v/>
      </c>
      <c r="AE146" s="60" t="str">
        <f>IF(AE$1&lt;=DataSettings!$B$3,SUM($E146:Q146),"")</f>
        <v/>
      </c>
    </row>
    <row r="147" hidden="1">
      <c r="A147" s="41" t="s">
        <v>18</v>
      </c>
      <c r="B147" s="41" t="s">
        <v>35</v>
      </c>
      <c r="C147" s="41" t="s">
        <v>27</v>
      </c>
      <c r="D147" s="59" t="s">
        <v>107</v>
      </c>
      <c r="E147" s="60">
        <f>IFERROR(VLOOKUP($D147,qboIS!$A$7:$O$112,COLUMN(E147)-2,FALSE),"")</f>
        <v>64294.92</v>
      </c>
      <c r="F147" s="60">
        <f>IFERROR(VLOOKUP($D147,qboIS!$A$7:$O$112,COLUMN(F147)-2,FALSE),"")</f>
        <v>55558.81</v>
      </c>
      <c r="G147" s="60">
        <f>IFERROR(VLOOKUP($D147,qboIS!$A$7:$O$112,COLUMN(G147)-2,FALSE),"")</f>
        <v>29307.27</v>
      </c>
      <c r="H147" s="60">
        <f>IFERROR(VLOOKUP($D147,qboIS!$A$7:$O$112,COLUMN(H147)-2,FALSE),"")</f>
        <v>329.81</v>
      </c>
      <c r="I147" s="60">
        <f>IFERROR(VLOOKUP($D147,qboIS!$A$7:$O$112,COLUMN(I147)-2,FALSE),"")</f>
        <v>504.78</v>
      </c>
      <c r="J147" s="60">
        <f>IFERROR(VLOOKUP($D147,qboIS!$A$7:$O$112,COLUMN(J147)-2,FALSE),"")</f>
        <v>2925.85</v>
      </c>
      <c r="K147" s="60">
        <f>IFERROR(VLOOKUP($D147,qboIS!$A$7:$O$112,COLUMN(K147)-2,FALSE),"")</f>
        <v>283.45</v>
      </c>
      <c r="L147" s="60">
        <f>IFERROR(VLOOKUP($D147,qboIS!$A$7:$O$112,COLUMN(L147)-2,FALSE),"")</f>
        <v>58.48</v>
      </c>
      <c r="M147" s="60">
        <f>IFERROR(VLOOKUP($D147,qboIS!$A$7:$O$112,COLUMN(M147)-2,FALSE),"")</f>
        <v>2833.55</v>
      </c>
      <c r="N147" s="60">
        <f>IFERROR(VLOOKUP($D147,qboIS!$A$7:$O$112,COLUMN(N147)-2,FALSE),"")</f>
        <v>156096.92</v>
      </c>
      <c r="O147" s="60" t="str">
        <f>IFERROR(VLOOKUP($D147,qboIS!$A$7:$O$112,COLUMN(O147)-2,FALSE),"")</f>
        <v/>
      </c>
      <c r="P147" s="60" t="str">
        <f>IFERROR(VLOOKUP($D147,qboIS!$A$7:$O$112,COLUMN(P147)-2,FALSE),"")</f>
        <v/>
      </c>
      <c r="Q147" s="60" t="str">
        <f>IFERROR(VLOOKUP($D147,qboIS!$A$7:$O$112,COLUMN(Q147)-2,FALSE),"")</f>
        <v/>
      </c>
      <c r="R147" s="60"/>
      <c r="S147" s="60">
        <f>IF(S$1&lt;=DataSettings!$B$3,SUM($E147:E147),"")</f>
        <v>64294.92</v>
      </c>
      <c r="T147" s="60">
        <f>IF(T$1&lt;=DataSettings!$B$3,SUM($E147:F147),"")</f>
        <v>119853.73</v>
      </c>
      <c r="U147" s="60">
        <f>IF(U$1&lt;=DataSettings!$B$3,SUM($E147:G147),"")</f>
        <v>149161</v>
      </c>
      <c r="V147" s="60">
        <f>IF(V$1&lt;=DataSettings!$B$3,SUM($E147:H147),"")</f>
        <v>149490.81</v>
      </c>
      <c r="W147" s="60">
        <f>IF(W$1&lt;=DataSettings!$B$3,SUM($E147:I147),"")</f>
        <v>149995.59</v>
      </c>
      <c r="X147" s="60">
        <f>IF(X$1&lt;=DataSettings!$B$3,SUM($E147:J147),"")</f>
        <v>152921.44</v>
      </c>
      <c r="Y147" s="60">
        <f>IF(Y$1&lt;=DataSettings!$B$3,SUM($E147:K147),"")</f>
        <v>153204.89</v>
      </c>
      <c r="Z147" s="60">
        <f>IF(Z$1&lt;=DataSettings!$B$3,SUM($E147:L147),"")</f>
        <v>153263.37</v>
      </c>
      <c r="AA147" s="60">
        <f>IF(AA$1&lt;=DataSettings!$B$3,SUM($E147:M147),"")</f>
        <v>156096.92</v>
      </c>
      <c r="AB147" s="60" t="str">
        <f>IF(AB$1&lt;=DataSettings!$B$3,SUM($E147:N147),"")</f>
        <v/>
      </c>
      <c r="AC147" s="60" t="str">
        <f>IF(AC$1&lt;=DataSettings!$B$3,SUM($E147:O147),"")</f>
        <v/>
      </c>
      <c r="AD147" s="60" t="str">
        <f>IF(AD$1&lt;=DataSettings!$B$3,SUM($E147:P147),"")</f>
        <v/>
      </c>
      <c r="AE147" s="60" t="str">
        <f>IF(AE$1&lt;=DataSettings!$B$3,SUM($E147:Q147),"")</f>
        <v/>
      </c>
    </row>
    <row r="148" hidden="1">
      <c r="A148" s="41" t="s">
        <v>18</v>
      </c>
      <c r="B148" s="41" t="s">
        <v>35</v>
      </c>
      <c r="C148" s="41" t="s">
        <v>27</v>
      </c>
      <c r="D148" s="59" t="s">
        <v>108</v>
      </c>
      <c r="E148" s="60" t="str">
        <f>IFERROR(VLOOKUP($D148,qboIS!$A$7:$O$112,COLUMN(E148)-2,FALSE),"")</f>
        <v/>
      </c>
      <c r="F148" s="60" t="str">
        <f>IFERROR(VLOOKUP($D148,qboIS!$A$7:$O$112,COLUMN(F148)-2,FALSE),"")</f>
        <v/>
      </c>
      <c r="G148" s="60" t="str">
        <f>IFERROR(VLOOKUP($D148,qboIS!$A$7:$O$112,COLUMN(G148)-2,FALSE),"")</f>
        <v/>
      </c>
      <c r="H148" s="60">
        <f>IFERROR(VLOOKUP($D148,qboIS!$A$7:$O$112,COLUMN(H148)-2,FALSE),"")</f>
        <v>100</v>
      </c>
      <c r="I148" s="60" t="str">
        <f>IFERROR(VLOOKUP($D148,qboIS!$A$7:$O$112,COLUMN(I148)-2,FALSE),"")</f>
        <v/>
      </c>
      <c r="J148" s="60" t="str">
        <f>IFERROR(VLOOKUP($D148,qboIS!$A$7:$O$112,COLUMN(J148)-2,FALSE),"")</f>
        <v/>
      </c>
      <c r="K148" s="60" t="str">
        <f>IFERROR(VLOOKUP($D148,qboIS!$A$7:$O$112,COLUMN(K148)-2,FALSE),"")</f>
        <v/>
      </c>
      <c r="L148" s="60" t="str">
        <f>IFERROR(VLOOKUP($D148,qboIS!$A$7:$O$112,COLUMN(L148)-2,FALSE),"")</f>
        <v/>
      </c>
      <c r="M148" s="60" t="str">
        <f>IFERROR(VLOOKUP($D148,qboIS!$A$7:$O$112,COLUMN(M148)-2,FALSE),"")</f>
        <v/>
      </c>
      <c r="N148" s="60">
        <f>IFERROR(VLOOKUP($D148,qboIS!$A$7:$O$112,COLUMN(N148)-2,FALSE),"")</f>
        <v>100</v>
      </c>
      <c r="O148" s="60" t="str">
        <f>IFERROR(VLOOKUP($D148,qboIS!$A$7:$O$112,COLUMN(O148)-2,FALSE),"")</f>
        <v/>
      </c>
      <c r="P148" s="60" t="str">
        <f>IFERROR(VLOOKUP($D148,qboIS!$A$7:$O$112,COLUMN(P148)-2,FALSE),"")</f>
        <v/>
      </c>
      <c r="Q148" s="60" t="str">
        <f>IFERROR(VLOOKUP($D148,qboIS!$A$7:$O$112,COLUMN(Q148)-2,FALSE),"")</f>
        <v/>
      </c>
      <c r="R148" s="60"/>
      <c r="S148" s="60">
        <f>IF(S$1&lt;=DataSettings!$B$3,SUM($E148:E148),"")</f>
        <v>0</v>
      </c>
      <c r="T148" s="60">
        <f>IF(T$1&lt;=DataSettings!$B$3,SUM($E148:F148),"")</f>
        <v>0</v>
      </c>
      <c r="U148" s="60">
        <f>IF(U$1&lt;=DataSettings!$B$3,SUM($E148:G148),"")</f>
        <v>0</v>
      </c>
      <c r="V148" s="60">
        <f>IF(V$1&lt;=DataSettings!$B$3,SUM($E148:H148),"")</f>
        <v>100</v>
      </c>
      <c r="W148" s="60">
        <f>IF(W$1&lt;=DataSettings!$B$3,SUM($E148:I148),"")</f>
        <v>100</v>
      </c>
      <c r="X148" s="60">
        <f>IF(X$1&lt;=DataSettings!$B$3,SUM($E148:J148),"")</f>
        <v>100</v>
      </c>
      <c r="Y148" s="60">
        <f>IF(Y$1&lt;=DataSettings!$B$3,SUM($E148:K148),"")</f>
        <v>100</v>
      </c>
      <c r="Z148" s="60">
        <f>IF(Z$1&lt;=DataSettings!$B$3,SUM($E148:L148),"")</f>
        <v>100</v>
      </c>
      <c r="AA148" s="60">
        <f>IF(AA$1&lt;=DataSettings!$B$3,SUM($E148:M148),"")</f>
        <v>100</v>
      </c>
      <c r="AB148" s="60" t="str">
        <f>IF(AB$1&lt;=DataSettings!$B$3,SUM($E148:N148),"")</f>
        <v/>
      </c>
      <c r="AC148" s="60" t="str">
        <f>IF(AC$1&lt;=DataSettings!$B$3,SUM($E148:O148),"")</f>
        <v/>
      </c>
      <c r="AD148" s="60" t="str">
        <f>IF(AD$1&lt;=DataSettings!$B$3,SUM($E148:P148),"")</f>
        <v/>
      </c>
      <c r="AE148" s="60" t="str">
        <f>IF(AE$1&lt;=DataSettings!$B$3,SUM($E148:Q148),"")</f>
        <v/>
      </c>
    </row>
    <row r="149" hidden="1">
      <c r="A149" s="41" t="s">
        <v>18</v>
      </c>
      <c r="B149" s="41" t="s">
        <v>35</v>
      </c>
      <c r="C149" s="41" t="s">
        <v>27</v>
      </c>
      <c r="D149" s="59" t="s">
        <v>109</v>
      </c>
      <c r="E149" s="60">
        <f>IFERROR(VLOOKUP($D149,qboIS!$A$7:$O$112,COLUMN(E149)-2,FALSE),"")</f>
        <v>2781</v>
      </c>
      <c r="F149" s="60" t="str">
        <f>IFERROR(VLOOKUP($D149,qboIS!$A$7:$O$112,COLUMN(F149)-2,FALSE),"")</f>
        <v/>
      </c>
      <c r="G149" s="60" t="str">
        <f>IFERROR(VLOOKUP($D149,qboIS!$A$7:$O$112,COLUMN(G149)-2,FALSE),"")</f>
        <v/>
      </c>
      <c r="H149" s="60" t="str">
        <f>IFERROR(VLOOKUP($D149,qboIS!$A$7:$O$112,COLUMN(H149)-2,FALSE),"")</f>
        <v/>
      </c>
      <c r="I149" s="60" t="str">
        <f>IFERROR(VLOOKUP($D149,qboIS!$A$7:$O$112,COLUMN(I149)-2,FALSE),"")</f>
        <v/>
      </c>
      <c r="J149" s="60" t="str">
        <f>IFERROR(VLOOKUP($D149,qboIS!$A$7:$O$112,COLUMN(J149)-2,FALSE),"")</f>
        <v/>
      </c>
      <c r="K149" s="60" t="str">
        <f>IFERROR(VLOOKUP($D149,qboIS!$A$7:$O$112,COLUMN(K149)-2,FALSE),"")</f>
        <v/>
      </c>
      <c r="L149" s="60" t="str">
        <f>IFERROR(VLOOKUP($D149,qboIS!$A$7:$O$112,COLUMN(L149)-2,FALSE),"")</f>
        <v/>
      </c>
      <c r="M149" s="60" t="str">
        <f>IFERROR(VLOOKUP($D149,qboIS!$A$7:$O$112,COLUMN(M149)-2,FALSE),"")</f>
        <v/>
      </c>
      <c r="N149" s="60">
        <f>IFERROR(VLOOKUP($D149,qboIS!$A$7:$O$112,COLUMN(N149)-2,FALSE),"")</f>
        <v>2781</v>
      </c>
      <c r="O149" s="60" t="str">
        <f>IFERROR(VLOOKUP($D149,qboIS!$A$7:$O$112,COLUMN(O149)-2,FALSE),"")</f>
        <v/>
      </c>
      <c r="P149" s="60" t="str">
        <f>IFERROR(VLOOKUP($D149,qboIS!$A$7:$O$112,COLUMN(P149)-2,FALSE),"")</f>
        <v/>
      </c>
      <c r="Q149" s="60" t="str">
        <f>IFERROR(VLOOKUP($D149,qboIS!$A$7:$O$112,COLUMN(Q149)-2,FALSE),"")</f>
        <v/>
      </c>
      <c r="R149" s="60"/>
      <c r="S149" s="60">
        <f>IF(S$1&lt;=DataSettings!$B$3,SUM($E149:E149),"")</f>
        <v>2781</v>
      </c>
      <c r="T149" s="60">
        <f>IF(T$1&lt;=DataSettings!$B$3,SUM($E149:F149),"")</f>
        <v>2781</v>
      </c>
      <c r="U149" s="60">
        <f>IF(U$1&lt;=DataSettings!$B$3,SUM($E149:G149),"")</f>
        <v>2781</v>
      </c>
      <c r="V149" s="60">
        <f>IF(V$1&lt;=DataSettings!$B$3,SUM($E149:H149),"")</f>
        <v>2781</v>
      </c>
      <c r="W149" s="60">
        <f>IF(W$1&lt;=DataSettings!$B$3,SUM($E149:I149),"")</f>
        <v>2781</v>
      </c>
      <c r="X149" s="60">
        <f>IF(X$1&lt;=DataSettings!$B$3,SUM($E149:J149),"")</f>
        <v>2781</v>
      </c>
      <c r="Y149" s="60">
        <f>IF(Y$1&lt;=DataSettings!$B$3,SUM($E149:K149),"")</f>
        <v>2781</v>
      </c>
      <c r="Z149" s="60">
        <f>IF(Z$1&lt;=DataSettings!$B$3,SUM($E149:L149),"")</f>
        <v>2781</v>
      </c>
      <c r="AA149" s="60">
        <f>IF(AA$1&lt;=DataSettings!$B$3,SUM($E149:M149),"")</f>
        <v>2781</v>
      </c>
      <c r="AB149" s="60" t="str">
        <f>IF(AB$1&lt;=DataSettings!$B$3,SUM($E149:N149),"")</f>
        <v/>
      </c>
      <c r="AC149" s="60" t="str">
        <f>IF(AC$1&lt;=DataSettings!$B$3,SUM($E149:O149),"")</f>
        <v/>
      </c>
      <c r="AD149" s="60" t="str">
        <f>IF(AD$1&lt;=DataSettings!$B$3,SUM($E149:P149),"")</f>
        <v/>
      </c>
      <c r="AE149" s="60" t="str">
        <f>IF(AE$1&lt;=DataSettings!$B$3,SUM($E149:Q149),"")</f>
        <v/>
      </c>
    </row>
    <row r="150" hidden="1">
      <c r="A150" s="41" t="s">
        <v>18</v>
      </c>
      <c r="B150" s="41" t="s">
        <v>35</v>
      </c>
      <c r="C150" s="41" t="s">
        <v>31</v>
      </c>
      <c r="D150" s="59" t="s">
        <v>110</v>
      </c>
      <c r="E150" s="60">
        <f>IFERROR(VLOOKUP($D150,qboIS!$A$7:$O$112,COLUMN(E150)-2,FALSE),"")</f>
        <v>1463.98</v>
      </c>
      <c r="F150" s="60" t="str">
        <f>IFERROR(VLOOKUP($D150,qboIS!$A$7:$O$112,COLUMN(F150)-2,FALSE),"")</f>
        <v/>
      </c>
      <c r="G150" s="60" t="str">
        <f>IFERROR(VLOOKUP($D150,qboIS!$A$7:$O$112,COLUMN(G150)-2,FALSE),"")</f>
        <v/>
      </c>
      <c r="H150" s="60">
        <f>IFERROR(VLOOKUP($D150,qboIS!$A$7:$O$112,COLUMN(H150)-2,FALSE),"")</f>
        <v>66.5</v>
      </c>
      <c r="I150" s="60">
        <f>IFERROR(VLOOKUP($D150,qboIS!$A$7:$O$112,COLUMN(I150)-2,FALSE),"")</f>
        <v>17.5</v>
      </c>
      <c r="J150" s="60">
        <f>IFERROR(VLOOKUP($D150,qboIS!$A$7:$O$112,COLUMN(J150)-2,FALSE),"")</f>
        <v>78</v>
      </c>
      <c r="K150" s="60" t="str">
        <f>IFERROR(VLOOKUP($D150,qboIS!$A$7:$O$112,COLUMN(K150)-2,FALSE),"")</f>
        <v/>
      </c>
      <c r="L150" s="60" t="str">
        <f>IFERROR(VLOOKUP($D150,qboIS!$A$7:$O$112,COLUMN(L150)-2,FALSE),"")</f>
        <v/>
      </c>
      <c r="M150" s="60" t="str">
        <f>IFERROR(VLOOKUP($D150,qboIS!$A$7:$O$112,COLUMN(M150)-2,FALSE),"")</f>
        <v/>
      </c>
      <c r="N150" s="60">
        <f>IFERROR(VLOOKUP($D150,qboIS!$A$7:$O$112,COLUMN(N150)-2,FALSE),"")</f>
        <v>1625.98</v>
      </c>
      <c r="O150" s="60" t="str">
        <f>IFERROR(VLOOKUP($D150,qboIS!$A$7:$O$112,COLUMN(O150)-2,FALSE),"")</f>
        <v/>
      </c>
      <c r="P150" s="60" t="str">
        <f>IFERROR(VLOOKUP($D150,qboIS!$A$7:$O$112,COLUMN(P150)-2,FALSE),"")</f>
        <v/>
      </c>
      <c r="Q150" s="60" t="str">
        <f>IFERROR(VLOOKUP($D150,qboIS!$A$7:$O$112,COLUMN(Q150)-2,FALSE),"")</f>
        <v/>
      </c>
      <c r="R150" s="60"/>
      <c r="S150" s="60">
        <f>IF(S$1&lt;=DataSettings!$B$3,SUM($E150:E150),"")</f>
        <v>1463.98</v>
      </c>
      <c r="T150" s="60">
        <f>IF(T$1&lt;=DataSettings!$B$3,SUM($E150:F150),"")</f>
        <v>1463.98</v>
      </c>
      <c r="U150" s="60">
        <f>IF(U$1&lt;=DataSettings!$B$3,SUM($E150:G150),"")</f>
        <v>1463.98</v>
      </c>
      <c r="V150" s="60">
        <f>IF(V$1&lt;=DataSettings!$B$3,SUM($E150:H150),"")</f>
        <v>1530.48</v>
      </c>
      <c r="W150" s="60">
        <f>IF(W$1&lt;=DataSettings!$B$3,SUM($E150:I150),"")</f>
        <v>1547.98</v>
      </c>
      <c r="X150" s="60">
        <f>IF(X$1&lt;=DataSettings!$B$3,SUM($E150:J150),"")</f>
        <v>1625.98</v>
      </c>
      <c r="Y150" s="60">
        <f>IF(Y$1&lt;=DataSettings!$B$3,SUM($E150:K150),"")</f>
        <v>1625.98</v>
      </c>
      <c r="Z150" s="60">
        <f>IF(Z$1&lt;=DataSettings!$B$3,SUM($E150:L150),"")</f>
        <v>1625.98</v>
      </c>
      <c r="AA150" s="60">
        <f>IF(AA$1&lt;=DataSettings!$B$3,SUM($E150:M150),"")</f>
        <v>1625.98</v>
      </c>
      <c r="AB150" s="60" t="str">
        <f>IF(AB$1&lt;=DataSettings!$B$3,SUM($E150:N150),"")</f>
        <v/>
      </c>
      <c r="AC150" s="60" t="str">
        <f>IF(AC$1&lt;=DataSettings!$B$3,SUM($E150:O150),"")</f>
        <v/>
      </c>
      <c r="AD150" s="60" t="str">
        <f>IF(AD$1&lt;=DataSettings!$B$3,SUM($E150:P150),"")</f>
        <v/>
      </c>
      <c r="AE150" s="60" t="str">
        <f>IF(AE$1&lt;=DataSettings!$B$3,SUM($E150:Q150),"")</f>
        <v/>
      </c>
    </row>
    <row r="151" hidden="1">
      <c r="A151" s="41" t="s">
        <v>18</v>
      </c>
      <c r="B151" s="41" t="s">
        <v>35</v>
      </c>
      <c r="C151" s="41" t="s">
        <v>31</v>
      </c>
      <c r="D151" s="59" t="s">
        <v>111</v>
      </c>
      <c r="E151" s="60" t="str">
        <f>IFERROR(VLOOKUP($D151,qboIS!$A$7:$O$112,COLUMN(E151)-2,FALSE),"")</f>
        <v/>
      </c>
      <c r="F151" s="60" t="str">
        <f>IFERROR(VLOOKUP($D151,qboIS!$A$7:$O$112,COLUMN(F151)-2,FALSE),"")</f>
        <v/>
      </c>
      <c r="G151" s="60" t="str">
        <f>IFERROR(VLOOKUP($D151,qboIS!$A$7:$O$112,COLUMN(G151)-2,FALSE),"")</f>
        <v/>
      </c>
      <c r="H151" s="60" t="str">
        <f>IFERROR(VLOOKUP($D151,qboIS!$A$7:$O$112,COLUMN(H151)-2,FALSE),"")</f>
        <v/>
      </c>
      <c r="I151" s="60" t="str">
        <f>IFERROR(VLOOKUP($D151,qboIS!$A$7:$O$112,COLUMN(I151)-2,FALSE),"")</f>
        <v/>
      </c>
      <c r="J151" s="60" t="str">
        <f>IFERROR(VLOOKUP($D151,qboIS!$A$7:$O$112,COLUMN(J151)-2,FALSE),"")</f>
        <v/>
      </c>
      <c r="K151" s="60" t="str">
        <f>IFERROR(VLOOKUP($D151,qboIS!$A$7:$O$112,COLUMN(K151)-2,FALSE),"")</f>
        <v/>
      </c>
      <c r="L151" s="60" t="str">
        <f>IFERROR(VLOOKUP($D151,qboIS!$A$7:$O$112,COLUMN(L151)-2,FALSE),"")</f>
        <v/>
      </c>
      <c r="M151" s="60" t="str">
        <f>IFERROR(VLOOKUP($D151,qboIS!$A$7:$O$112,COLUMN(M151)-2,FALSE),"")</f>
        <v/>
      </c>
      <c r="N151" s="60" t="str">
        <f>IFERROR(VLOOKUP($D151,qboIS!$A$7:$O$112,COLUMN(N151)-2,FALSE),"")</f>
        <v/>
      </c>
      <c r="O151" s="60" t="str">
        <f>IFERROR(VLOOKUP($D151,qboIS!$A$7:$O$112,COLUMN(O151)-2,FALSE),"")</f>
        <v/>
      </c>
      <c r="P151" s="60" t="str">
        <f>IFERROR(VLOOKUP($D151,qboIS!$A$7:$O$112,COLUMN(P151)-2,FALSE),"")</f>
        <v/>
      </c>
      <c r="Q151" s="60" t="str">
        <f>IFERROR(VLOOKUP($D151,qboIS!$A$7:$O$112,COLUMN(Q151)-2,FALSE),"")</f>
        <v/>
      </c>
      <c r="R151" s="60"/>
      <c r="S151" s="60">
        <f>IF(S$1&lt;=DataSettings!$B$3,SUM($E151:E151),"")</f>
        <v>0</v>
      </c>
      <c r="T151" s="60">
        <f>IF(T$1&lt;=DataSettings!$B$3,SUM($E151:F151),"")</f>
        <v>0</v>
      </c>
      <c r="U151" s="60">
        <f>IF(U$1&lt;=DataSettings!$B$3,SUM($E151:G151),"")</f>
        <v>0</v>
      </c>
      <c r="V151" s="60">
        <f>IF(V$1&lt;=DataSettings!$B$3,SUM($E151:H151),"")</f>
        <v>0</v>
      </c>
      <c r="W151" s="60">
        <f>IF(W$1&lt;=DataSettings!$B$3,SUM($E151:I151),"")</f>
        <v>0</v>
      </c>
      <c r="X151" s="60">
        <f>IF(X$1&lt;=DataSettings!$B$3,SUM($E151:J151),"")</f>
        <v>0</v>
      </c>
      <c r="Y151" s="60">
        <f>IF(Y$1&lt;=DataSettings!$B$3,SUM($E151:K151),"")</f>
        <v>0</v>
      </c>
      <c r="Z151" s="60">
        <f>IF(Z$1&lt;=DataSettings!$B$3,SUM($E151:L151),"")</f>
        <v>0</v>
      </c>
      <c r="AA151" s="60">
        <f>IF(AA$1&lt;=DataSettings!$B$3,SUM($E151:M151),"")</f>
        <v>0</v>
      </c>
      <c r="AB151" s="60" t="str">
        <f>IF(AB$1&lt;=DataSettings!$B$3,SUM($E151:N151),"")</f>
        <v/>
      </c>
      <c r="AC151" s="60" t="str">
        <f>IF(AC$1&lt;=DataSettings!$B$3,SUM($E151:O151),"")</f>
        <v/>
      </c>
      <c r="AD151" s="60" t="str">
        <f>IF(AD$1&lt;=DataSettings!$B$3,SUM($E151:P151),"")</f>
        <v/>
      </c>
      <c r="AE151" s="60" t="str">
        <f>IF(AE$1&lt;=DataSettings!$B$3,SUM($E151:Q151),"")</f>
        <v/>
      </c>
    </row>
    <row r="152" hidden="1">
      <c r="A152" s="41" t="s">
        <v>18</v>
      </c>
      <c r="B152" s="41" t="s">
        <v>35</v>
      </c>
      <c r="C152" s="41" t="s">
        <v>29</v>
      </c>
      <c r="D152" s="59" t="s">
        <v>112</v>
      </c>
      <c r="E152" s="60">
        <f>IFERROR(VLOOKUP($D152,qboIS!$A$7:$O$112,COLUMN(E152)-2,FALSE),"")</f>
        <v>7</v>
      </c>
      <c r="F152" s="60">
        <f>IFERROR(VLOOKUP($D152,qboIS!$A$7:$O$112,COLUMN(F152)-2,FALSE),"")</f>
        <v>234</v>
      </c>
      <c r="G152" s="60" t="str">
        <f>IFERROR(VLOOKUP($D152,qboIS!$A$7:$O$112,COLUMN(G152)-2,FALSE),"")</f>
        <v/>
      </c>
      <c r="H152" s="60" t="str">
        <f>IFERROR(VLOOKUP($D152,qboIS!$A$7:$O$112,COLUMN(H152)-2,FALSE),"")</f>
        <v/>
      </c>
      <c r="I152" s="60" t="str">
        <f>IFERROR(VLOOKUP($D152,qboIS!$A$7:$O$112,COLUMN(I152)-2,FALSE),"")</f>
        <v/>
      </c>
      <c r="J152" s="60" t="str">
        <f>IFERROR(VLOOKUP($D152,qboIS!$A$7:$O$112,COLUMN(J152)-2,FALSE),"")</f>
        <v/>
      </c>
      <c r="K152" s="60">
        <f>IFERROR(VLOOKUP($D152,qboIS!$A$7:$O$112,COLUMN(K152)-2,FALSE),"")</f>
        <v>21</v>
      </c>
      <c r="L152" s="60" t="str">
        <f>IFERROR(VLOOKUP($D152,qboIS!$A$7:$O$112,COLUMN(L152)-2,FALSE),"")</f>
        <v/>
      </c>
      <c r="M152" s="60" t="str">
        <f>IFERROR(VLOOKUP($D152,qboIS!$A$7:$O$112,COLUMN(M152)-2,FALSE),"")</f>
        <v/>
      </c>
      <c r="N152" s="60">
        <f>IFERROR(VLOOKUP($D152,qboIS!$A$7:$O$112,COLUMN(N152)-2,FALSE),"")</f>
        <v>262</v>
      </c>
      <c r="O152" s="60" t="str">
        <f>IFERROR(VLOOKUP($D152,qboIS!$A$7:$O$112,COLUMN(O152)-2,FALSE),"")</f>
        <v/>
      </c>
      <c r="P152" s="60" t="str">
        <f>IFERROR(VLOOKUP($D152,qboIS!$A$7:$O$112,COLUMN(P152)-2,FALSE),"")</f>
        <v/>
      </c>
      <c r="Q152" s="60" t="str">
        <f>IFERROR(VLOOKUP($D152,qboIS!$A$7:$O$112,COLUMN(Q152)-2,FALSE),"")</f>
        <v/>
      </c>
      <c r="R152" s="60"/>
      <c r="S152" s="60">
        <f>IF(S$1&lt;=DataSettings!$B$3,SUM($E152:E152),"")</f>
        <v>7</v>
      </c>
      <c r="T152" s="60">
        <f>IF(T$1&lt;=DataSettings!$B$3,SUM($E152:F152),"")</f>
        <v>241</v>
      </c>
      <c r="U152" s="60">
        <f>IF(U$1&lt;=DataSettings!$B$3,SUM($E152:G152),"")</f>
        <v>241</v>
      </c>
      <c r="V152" s="60">
        <f>IF(V$1&lt;=DataSettings!$B$3,SUM($E152:H152),"")</f>
        <v>241</v>
      </c>
      <c r="W152" s="60">
        <f>IF(W$1&lt;=DataSettings!$B$3,SUM($E152:I152),"")</f>
        <v>241</v>
      </c>
      <c r="X152" s="60">
        <f>IF(X$1&lt;=DataSettings!$B$3,SUM($E152:J152),"")</f>
        <v>241</v>
      </c>
      <c r="Y152" s="60">
        <f>IF(Y$1&lt;=DataSettings!$B$3,SUM($E152:K152),"")</f>
        <v>262</v>
      </c>
      <c r="Z152" s="60">
        <f>IF(Z$1&lt;=DataSettings!$B$3,SUM($E152:L152),"")</f>
        <v>262</v>
      </c>
      <c r="AA152" s="60">
        <f>IF(AA$1&lt;=DataSettings!$B$3,SUM($E152:M152),"")</f>
        <v>262</v>
      </c>
      <c r="AB152" s="60" t="str">
        <f>IF(AB$1&lt;=DataSettings!$B$3,SUM($E152:N152),"")</f>
        <v/>
      </c>
      <c r="AC152" s="60" t="str">
        <f>IF(AC$1&lt;=DataSettings!$B$3,SUM($E152:O152),"")</f>
        <v/>
      </c>
      <c r="AD152" s="60" t="str">
        <f>IF(AD$1&lt;=DataSettings!$B$3,SUM($E152:P152),"")</f>
        <v/>
      </c>
      <c r="AE152" s="60" t="str">
        <f>IF(AE$1&lt;=DataSettings!$B$3,SUM($E152:Q152),"")</f>
        <v/>
      </c>
    </row>
    <row r="153" hidden="1">
      <c r="A153" s="41" t="s">
        <v>18</v>
      </c>
      <c r="B153" s="41" t="s">
        <v>35</v>
      </c>
      <c r="C153" s="41" t="s">
        <v>29</v>
      </c>
      <c r="D153" s="59" t="s">
        <v>113</v>
      </c>
      <c r="E153" s="60">
        <f>IFERROR(VLOOKUP($D153,qboIS!$A$7:$O$112,COLUMN(E153)-2,FALSE),"")</f>
        <v>63.05</v>
      </c>
      <c r="F153" s="60">
        <f>IFERROR(VLOOKUP($D153,qboIS!$A$7:$O$112,COLUMN(F153)-2,FALSE),"")</f>
        <v>113.85</v>
      </c>
      <c r="G153" s="60">
        <f>IFERROR(VLOOKUP($D153,qboIS!$A$7:$O$112,COLUMN(G153)-2,FALSE),"")</f>
        <v>25.44</v>
      </c>
      <c r="H153" s="60">
        <f>IFERROR(VLOOKUP($D153,qboIS!$A$7:$O$112,COLUMN(H153)-2,FALSE),"")</f>
        <v>123.39</v>
      </c>
      <c r="I153" s="60">
        <f>IFERROR(VLOOKUP($D153,qboIS!$A$7:$O$112,COLUMN(I153)-2,FALSE),"")</f>
        <v>715.71</v>
      </c>
      <c r="J153" s="60">
        <f>IFERROR(VLOOKUP($D153,qboIS!$A$7:$O$112,COLUMN(J153)-2,FALSE),"")</f>
        <v>2480.74</v>
      </c>
      <c r="K153" s="60">
        <f>IFERROR(VLOOKUP($D153,qboIS!$A$7:$O$112,COLUMN(K153)-2,FALSE),"")</f>
        <v>-104.75</v>
      </c>
      <c r="L153" s="60">
        <f>IFERROR(VLOOKUP($D153,qboIS!$A$7:$O$112,COLUMN(L153)-2,FALSE),"")</f>
        <v>40.79</v>
      </c>
      <c r="M153" s="60">
        <f>IFERROR(VLOOKUP($D153,qboIS!$A$7:$O$112,COLUMN(M153)-2,FALSE),"")</f>
        <v>294.27</v>
      </c>
      <c r="N153" s="60">
        <f>IFERROR(VLOOKUP($D153,qboIS!$A$7:$O$112,COLUMN(N153)-2,FALSE),"")</f>
        <v>3752.49</v>
      </c>
      <c r="O153" s="60" t="str">
        <f>IFERROR(VLOOKUP($D153,qboIS!$A$7:$O$112,COLUMN(O153)-2,FALSE),"")</f>
        <v/>
      </c>
      <c r="P153" s="60" t="str">
        <f>IFERROR(VLOOKUP($D153,qboIS!$A$7:$O$112,COLUMN(P153)-2,FALSE),"")</f>
        <v/>
      </c>
      <c r="Q153" s="60" t="str">
        <f>IFERROR(VLOOKUP($D153,qboIS!$A$7:$O$112,COLUMN(Q153)-2,FALSE),"")</f>
        <v/>
      </c>
      <c r="R153" s="60"/>
      <c r="S153" s="60">
        <f>IF(S$1&lt;=DataSettings!$B$3,SUM($E153:E153),"")</f>
        <v>63.05</v>
      </c>
      <c r="T153" s="60">
        <f>IF(T$1&lt;=DataSettings!$B$3,SUM($E153:F153),"")</f>
        <v>176.9</v>
      </c>
      <c r="U153" s="60">
        <f>IF(U$1&lt;=DataSettings!$B$3,SUM($E153:G153),"")</f>
        <v>202.34</v>
      </c>
      <c r="V153" s="60">
        <f>IF(V$1&lt;=DataSettings!$B$3,SUM($E153:H153),"")</f>
        <v>325.73</v>
      </c>
      <c r="W153" s="60">
        <f>IF(W$1&lt;=DataSettings!$B$3,SUM($E153:I153),"")</f>
        <v>1041.44</v>
      </c>
      <c r="X153" s="60">
        <f>IF(X$1&lt;=DataSettings!$B$3,SUM($E153:J153),"")</f>
        <v>3522.18</v>
      </c>
      <c r="Y153" s="60">
        <f>IF(Y$1&lt;=DataSettings!$B$3,SUM($E153:K153),"")</f>
        <v>3417.43</v>
      </c>
      <c r="Z153" s="60">
        <f>IF(Z$1&lt;=DataSettings!$B$3,SUM($E153:L153),"")</f>
        <v>3458.22</v>
      </c>
      <c r="AA153" s="60">
        <f>IF(AA$1&lt;=DataSettings!$B$3,SUM($E153:M153),"")</f>
        <v>3752.49</v>
      </c>
      <c r="AB153" s="60" t="str">
        <f>IF(AB$1&lt;=DataSettings!$B$3,SUM($E153:N153),"")</f>
        <v/>
      </c>
      <c r="AC153" s="60" t="str">
        <f>IF(AC$1&lt;=DataSettings!$B$3,SUM($E153:O153),"")</f>
        <v/>
      </c>
      <c r="AD153" s="60" t="str">
        <f>IF(AD$1&lt;=DataSettings!$B$3,SUM($E153:P153),"")</f>
        <v/>
      </c>
      <c r="AE153" s="60" t="str">
        <f>IF(AE$1&lt;=DataSettings!$B$3,SUM($E153:Q153),"")</f>
        <v/>
      </c>
    </row>
    <row r="154" hidden="1">
      <c r="A154" s="41" t="s">
        <v>18</v>
      </c>
      <c r="B154" s="41" t="s">
        <v>35</v>
      </c>
      <c r="C154" s="41" t="s">
        <v>29</v>
      </c>
      <c r="D154" s="59" t="s">
        <v>114</v>
      </c>
      <c r="E154" s="60">
        <f>IFERROR(VLOOKUP($D154,qboIS!$A$7:$O$112,COLUMN(E154)-2,FALSE),"")</f>
        <v>585</v>
      </c>
      <c r="F154" s="60" t="str">
        <f>IFERROR(VLOOKUP($D154,qboIS!$A$7:$O$112,COLUMN(F154)-2,FALSE),"")</f>
        <v/>
      </c>
      <c r="G154" s="60" t="str">
        <f>IFERROR(VLOOKUP($D154,qboIS!$A$7:$O$112,COLUMN(G154)-2,FALSE),"")</f>
        <v/>
      </c>
      <c r="H154" s="60">
        <f>IFERROR(VLOOKUP($D154,qboIS!$A$7:$O$112,COLUMN(H154)-2,FALSE),"")</f>
        <v>1215</v>
      </c>
      <c r="I154" s="60">
        <f>IFERROR(VLOOKUP($D154,qboIS!$A$7:$O$112,COLUMN(I154)-2,FALSE),"")</f>
        <v>855</v>
      </c>
      <c r="J154" s="60">
        <f>IFERROR(VLOOKUP($D154,qboIS!$A$7:$O$112,COLUMN(J154)-2,FALSE),"")</f>
        <v>1215</v>
      </c>
      <c r="K154" s="60" t="str">
        <f>IFERROR(VLOOKUP($D154,qboIS!$A$7:$O$112,COLUMN(K154)-2,FALSE),"")</f>
        <v/>
      </c>
      <c r="L154" s="60" t="str">
        <f>IFERROR(VLOOKUP($D154,qboIS!$A$7:$O$112,COLUMN(L154)-2,FALSE),"")</f>
        <v/>
      </c>
      <c r="M154" s="60">
        <f>IFERROR(VLOOKUP($D154,qboIS!$A$7:$O$112,COLUMN(M154)-2,FALSE),"")</f>
        <v>602.55</v>
      </c>
      <c r="N154" s="60">
        <f>IFERROR(VLOOKUP($D154,qboIS!$A$7:$O$112,COLUMN(N154)-2,FALSE),"")</f>
        <v>4472.55</v>
      </c>
      <c r="O154" s="60" t="str">
        <f>IFERROR(VLOOKUP($D154,qboIS!$A$7:$O$112,COLUMN(O154)-2,FALSE),"")</f>
        <v/>
      </c>
      <c r="P154" s="60" t="str">
        <f>IFERROR(VLOOKUP($D154,qboIS!$A$7:$O$112,COLUMN(P154)-2,FALSE),"")</f>
        <v/>
      </c>
      <c r="Q154" s="60" t="str">
        <f>IFERROR(VLOOKUP($D154,qboIS!$A$7:$O$112,COLUMN(Q154)-2,FALSE),"")</f>
        <v/>
      </c>
      <c r="R154" s="60"/>
      <c r="S154" s="60">
        <f>IF(S$1&lt;=DataSettings!$B$3,SUM($E154:E154),"")</f>
        <v>585</v>
      </c>
      <c r="T154" s="60">
        <f>IF(T$1&lt;=DataSettings!$B$3,SUM($E154:F154),"")</f>
        <v>585</v>
      </c>
      <c r="U154" s="60">
        <f>IF(U$1&lt;=DataSettings!$B$3,SUM($E154:G154),"")</f>
        <v>585</v>
      </c>
      <c r="V154" s="60">
        <f>IF(V$1&lt;=DataSettings!$B$3,SUM($E154:H154),"")</f>
        <v>1800</v>
      </c>
      <c r="W154" s="60">
        <f>IF(W$1&lt;=DataSettings!$B$3,SUM($E154:I154),"")</f>
        <v>2655</v>
      </c>
      <c r="X154" s="60">
        <f>IF(X$1&lt;=DataSettings!$B$3,SUM($E154:J154),"")</f>
        <v>3870</v>
      </c>
      <c r="Y154" s="60">
        <f>IF(Y$1&lt;=DataSettings!$B$3,SUM($E154:K154),"")</f>
        <v>3870</v>
      </c>
      <c r="Z154" s="60">
        <f>IF(Z$1&lt;=DataSettings!$B$3,SUM($E154:L154),"")</f>
        <v>3870</v>
      </c>
      <c r="AA154" s="60">
        <f>IF(AA$1&lt;=DataSettings!$B$3,SUM($E154:M154),"")</f>
        <v>4472.55</v>
      </c>
      <c r="AB154" s="60" t="str">
        <f>IF(AB$1&lt;=DataSettings!$B$3,SUM($E154:N154),"")</f>
        <v/>
      </c>
      <c r="AC154" s="60" t="str">
        <f>IF(AC$1&lt;=DataSettings!$B$3,SUM($E154:O154),"")</f>
        <v/>
      </c>
      <c r="AD154" s="60" t="str">
        <f>IF(AD$1&lt;=DataSettings!$B$3,SUM($E154:P154),"")</f>
        <v/>
      </c>
      <c r="AE154" s="60" t="str">
        <f>IF(AE$1&lt;=DataSettings!$B$3,SUM($E154:Q154),"")</f>
        <v/>
      </c>
    </row>
    <row r="155" hidden="1">
      <c r="A155" s="41" t="s">
        <v>18</v>
      </c>
      <c r="B155" s="41" t="s">
        <v>35</v>
      </c>
      <c r="C155" s="41" t="s">
        <v>29</v>
      </c>
      <c r="D155" s="59" t="s">
        <v>115</v>
      </c>
      <c r="E155" s="60">
        <f>IFERROR(VLOOKUP($D155,qboIS!$A$7:$O$112,COLUMN(E155)-2,FALSE),"")</f>
        <v>6572.74</v>
      </c>
      <c r="F155" s="60" t="str">
        <f>IFERROR(VLOOKUP($D155,qboIS!$A$7:$O$112,COLUMN(F155)-2,FALSE),"")</f>
        <v/>
      </c>
      <c r="G155" s="60" t="str">
        <f>IFERROR(VLOOKUP($D155,qboIS!$A$7:$O$112,COLUMN(G155)-2,FALSE),"")</f>
        <v/>
      </c>
      <c r="H155" s="60">
        <f>IFERROR(VLOOKUP($D155,qboIS!$A$7:$O$112,COLUMN(H155)-2,FALSE),"")</f>
        <v>17188.33</v>
      </c>
      <c r="I155" s="60">
        <f>IFERROR(VLOOKUP($D155,qboIS!$A$7:$O$112,COLUMN(I155)-2,FALSE),"")</f>
        <v>9916.15</v>
      </c>
      <c r="J155" s="60">
        <f>IFERROR(VLOOKUP($D155,qboIS!$A$7:$O$112,COLUMN(J155)-2,FALSE),"")</f>
        <v>14199.75</v>
      </c>
      <c r="K155" s="60" t="str">
        <f>IFERROR(VLOOKUP($D155,qboIS!$A$7:$O$112,COLUMN(K155)-2,FALSE),"")</f>
        <v/>
      </c>
      <c r="L155" s="60" t="str">
        <f>IFERROR(VLOOKUP($D155,qboIS!$A$7:$O$112,COLUMN(L155)-2,FALSE),"")</f>
        <v/>
      </c>
      <c r="M155" s="60">
        <f>IFERROR(VLOOKUP($D155,qboIS!$A$7:$O$112,COLUMN(M155)-2,FALSE),"")</f>
        <v>6026.09</v>
      </c>
      <c r="N155" s="60">
        <f>IFERROR(VLOOKUP($D155,qboIS!$A$7:$O$112,COLUMN(N155)-2,FALSE),"")</f>
        <v>53903.06</v>
      </c>
      <c r="O155" s="60" t="str">
        <f>IFERROR(VLOOKUP($D155,qboIS!$A$7:$O$112,COLUMN(O155)-2,FALSE),"")</f>
        <v/>
      </c>
      <c r="P155" s="60" t="str">
        <f>IFERROR(VLOOKUP($D155,qboIS!$A$7:$O$112,COLUMN(P155)-2,FALSE),"")</f>
        <v/>
      </c>
      <c r="Q155" s="60" t="str">
        <f>IFERROR(VLOOKUP($D155,qboIS!$A$7:$O$112,COLUMN(Q155)-2,FALSE),"")</f>
        <v/>
      </c>
      <c r="R155" s="60"/>
      <c r="S155" s="60">
        <f>IF(S$1&lt;=DataSettings!$B$3,SUM($E155:E155),"")</f>
        <v>6572.74</v>
      </c>
      <c r="T155" s="60">
        <f>IF(T$1&lt;=DataSettings!$B$3,SUM($E155:F155),"")</f>
        <v>6572.74</v>
      </c>
      <c r="U155" s="60">
        <f>IF(U$1&lt;=DataSettings!$B$3,SUM($E155:G155),"")</f>
        <v>6572.74</v>
      </c>
      <c r="V155" s="60">
        <f>IF(V$1&lt;=DataSettings!$B$3,SUM($E155:H155),"")</f>
        <v>23761.07</v>
      </c>
      <c r="W155" s="60">
        <f>IF(W$1&lt;=DataSettings!$B$3,SUM($E155:I155),"")</f>
        <v>33677.22</v>
      </c>
      <c r="X155" s="60">
        <f>IF(X$1&lt;=DataSettings!$B$3,SUM($E155:J155),"")</f>
        <v>47876.97</v>
      </c>
      <c r="Y155" s="60">
        <f>IF(Y$1&lt;=DataSettings!$B$3,SUM($E155:K155),"")</f>
        <v>47876.97</v>
      </c>
      <c r="Z155" s="60">
        <f>IF(Z$1&lt;=DataSettings!$B$3,SUM($E155:L155),"")</f>
        <v>47876.97</v>
      </c>
      <c r="AA155" s="60">
        <f>IF(AA$1&lt;=DataSettings!$B$3,SUM($E155:M155),"")</f>
        <v>53903.06</v>
      </c>
      <c r="AB155" s="60" t="str">
        <f>IF(AB$1&lt;=DataSettings!$B$3,SUM($E155:N155),"")</f>
        <v/>
      </c>
      <c r="AC155" s="60" t="str">
        <f>IF(AC$1&lt;=DataSettings!$B$3,SUM($E155:O155),"")</f>
        <v/>
      </c>
      <c r="AD155" s="60" t="str">
        <f>IF(AD$1&lt;=DataSettings!$B$3,SUM($E155:P155),"")</f>
        <v/>
      </c>
      <c r="AE155" s="60" t="str">
        <f>IF(AE$1&lt;=DataSettings!$B$3,SUM($E155:Q155),"")</f>
        <v/>
      </c>
    </row>
    <row r="156" hidden="1">
      <c r="A156" s="41" t="s">
        <v>18</v>
      </c>
      <c r="B156" s="41" t="s">
        <v>35</v>
      </c>
      <c r="C156" s="41" t="s">
        <v>29</v>
      </c>
      <c r="D156" s="59" t="s">
        <v>116</v>
      </c>
      <c r="E156" s="60">
        <f>IFERROR(VLOOKUP($D156,qboIS!$A$7:$O$112,COLUMN(E156)-2,FALSE),"")</f>
        <v>18355.68</v>
      </c>
      <c r="F156" s="60">
        <f>IFERROR(VLOOKUP($D156,qboIS!$A$7:$O$112,COLUMN(F156)-2,FALSE),"")</f>
        <v>16153.24</v>
      </c>
      <c r="G156" s="60">
        <f>IFERROR(VLOOKUP($D156,qboIS!$A$7:$O$112,COLUMN(G156)-2,FALSE),"")</f>
        <v>16186.78</v>
      </c>
      <c r="H156" s="60">
        <f>IFERROR(VLOOKUP($D156,qboIS!$A$7:$O$112,COLUMN(H156)-2,FALSE),"")</f>
        <v>18028.49</v>
      </c>
      <c r="I156" s="60">
        <f>IFERROR(VLOOKUP($D156,qboIS!$A$7:$O$112,COLUMN(I156)-2,FALSE),"")</f>
        <v>15948</v>
      </c>
      <c r="J156" s="60">
        <f>IFERROR(VLOOKUP($D156,qboIS!$A$7:$O$112,COLUMN(J156)-2,FALSE),"")</f>
        <v>21756.12</v>
      </c>
      <c r="K156" s="60">
        <f>IFERROR(VLOOKUP($D156,qboIS!$A$7:$O$112,COLUMN(K156)-2,FALSE),"")</f>
        <v>17173.95</v>
      </c>
      <c r="L156" s="60">
        <f>IFERROR(VLOOKUP($D156,qboIS!$A$7:$O$112,COLUMN(L156)-2,FALSE),"")</f>
        <v>18480</v>
      </c>
      <c r="M156" s="60">
        <f>IFERROR(VLOOKUP($D156,qboIS!$A$7:$O$112,COLUMN(M156)-2,FALSE),"")</f>
        <v>18480</v>
      </c>
      <c r="N156" s="60">
        <f>IFERROR(VLOOKUP($D156,qboIS!$A$7:$O$112,COLUMN(N156)-2,FALSE),"")</f>
        <v>160562.26</v>
      </c>
      <c r="O156" s="60" t="str">
        <f>IFERROR(VLOOKUP($D156,qboIS!$A$7:$O$112,COLUMN(O156)-2,FALSE),"")</f>
        <v/>
      </c>
      <c r="P156" s="60" t="str">
        <f>IFERROR(VLOOKUP($D156,qboIS!$A$7:$O$112,COLUMN(P156)-2,FALSE),"")</f>
        <v/>
      </c>
      <c r="Q156" s="60" t="str">
        <f>IFERROR(VLOOKUP($D156,qboIS!$A$7:$O$112,COLUMN(Q156)-2,FALSE),"")</f>
        <v/>
      </c>
      <c r="R156" s="60"/>
      <c r="S156" s="60">
        <f>IF(S$1&lt;=DataSettings!$B$3,SUM($E156:E156),"")</f>
        <v>18355.68</v>
      </c>
      <c r="T156" s="60">
        <f>IF(T$1&lt;=DataSettings!$B$3,SUM($E156:F156),"")</f>
        <v>34508.92</v>
      </c>
      <c r="U156" s="60">
        <f>IF(U$1&lt;=DataSettings!$B$3,SUM($E156:G156),"")</f>
        <v>50695.7</v>
      </c>
      <c r="V156" s="60">
        <f>IF(V$1&lt;=DataSettings!$B$3,SUM($E156:H156),"")</f>
        <v>68724.19</v>
      </c>
      <c r="W156" s="60">
        <f>IF(W$1&lt;=DataSettings!$B$3,SUM($E156:I156),"")</f>
        <v>84672.19</v>
      </c>
      <c r="X156" s="60">
        <f>IF(X$1&lt;=DataSettings!$B$3,SUM($E156:J156),"")</f>
        <v>106428.31</v>
      </c>
      <c r="Y156" s="60">
        <f>IF(Y$1&lt;=DataSettings!$B$3,SUM($E156:K156),"")</f>
        <v>123602.26</v>
      </c>
      <c r="Z156" s="60">
        <f>IF(Z$1&lt;=DataSettings!$B$3,SUM($E156:L156),"")</f>
        <v>142082.26</v>
      </c>
      <c r="AA156" s="60">
        <f>IF(AA$1&lt;=DataSettings!$B$3,SUM($E156:M156),"")</f>
        <v>160562.26</v>
      </c>
      <c r="AB156" s="60" t="str">
        <f>IF(AB$1&lt;=DataSettings!$B$3,SUM($E156:N156),"")</f>
        <v/>
      </c>
      <c r="AC156" s="60" t="str">
        <f>IF(AC$1&lt;=DataSettings!$B$3,SUM($E156:O156),"")</f>
        <v/>
      </c>
      <c r="AD156" s="60" t="str">
        <f>IF(AD$1&lt;=DataSettings!$B$3,SUM($E156:P156),"")</f>
        <v/>
      </c>
      <c r="AE156" s="60" t="str">
        <f>IF(AE$1&lt;=DataSettings!$B$3,SUM($E156:Q156),"")</f>
        <v/>
      </c>
    </row>
    <row r="157">
      <c r="A157" s="41" t="s">
        <v>18</v>
      </c>
      <c r="B157" s="41" t="s">
        <v>36</v>
      </c>
      <c r="C157" s="41" t="s">
        <v>15</v>
      </c>
      <c r="D157" s="59" t="s">
        <v>60</v>
      </c>
      <c r="E157" s="60">
        <f>IFERROR(VLOOKUP($D157,qboIS!$A$7:$O$112,COLUMN(E157)-2,FALSE),"")</f>
        <v>7219.91</v>
      </c>
      <c r="F157" s="60" t="str">
        <f>IFERROR(VLOOKUP($D157,qboIS!$A$7:$O$112,COLUMN(F157)-2,FALSE),"")</f>
        <v/>
      </c>
      <c r="G157" s="60" t="str">
        <f>IFERROR(VLOOKUP($D157,qboIS!$A$7:$O$112,COLUMN(G157)-2,FALSE),"")</f>
        <v/>
      </c>
      <c r="H157" s="60" t="str">
        <f>IFERROR(VLOOKUP($D157,qboIS!$A$7:$O$112,COLUMN(H157)-2,FALSE),"")</f>
        <v/>
      </c>
      <c r="I157" s="60" t="str">
        <f>IFERROR(VLOOKUP($D157,qboIS!$A$7:$O$112,COLUMN(I157)-2,FALSE),"")</f>
        <v/>
      </c>
      <c r="J157" s="60" t="str">
        <f>IFERROR(VLOOKUP($D157,qboIS!$A$7:$O$112,COLUMN(J157)-2,FALSE),"")</f>
        <v/>
      </c>
      <c r="K157" s="60" t="str">
        <f>IFERROR(VLOOKUP($D157,qboIS!$A$7:$O$112,COLUMN(K157)-2,FALSE),"")</f>
        <v/>
      </c>
      <c r="L157" s="60" t="str">
        <f>IFERROR(VLOOKUP($D157,qboIS!$A$7:$O$112,COLUMN(L157)-2,FALSE),"")</f>
        <v/>
      </c>
      <c r="M157" s="60" t="str">
        <f>IFERROR(VLOOKUP($D157,qboIS!$A$7:$O$112,COLUMN(M157)-2,FALSE),"")</f>
        <v/>
      </c>
      <c r="N157" s="60">
        <f>IFERROR(VLOOKUP($D157,qboIS!$A$7:$O$112,COLUMN(N157)-2,FALSE),"")</f>
        <v>7219.91</v>
      </c>
      <c r="O157" s="60" t="str">
        <f>IFERROR(VLOOKUP($D157,qboIS!$A$7:$O$112,COLUMN(O157)-2,FALSE),"")</f>
        <v/>
      </c>
      <c r="P157" s="60" t="str">
        <f>IFERROR(VLOOKUP($D157,qboIS!$A$7:$O$112,COLUMN(P157)-2,FALSE),"")</f>
        <v/>
      </c>
      <c r="Q157" s="60" t="str">
        <f>IFERROR(VLOOKUP($D157,qboIS!$A$7:$O$112,COLUMN(Q157)-2,FALSE),"")</f>
        <v/>
      </c>
      <c r="R157" s="60"/>
      <c r="S157" s="60">
        <f>IF(S$1&lt;=DataSettings!$B$3,SUM($E157:E157),"")</f>
        <v>7219.91</v>
      </c>
      <c r="T157" s="60">
        <f>IF(T$1&lt;=DataSettings!$B$3,SUM($E157:F157),"")</f>
        <v>7219.91</v>
      </c>
      <c r="U157" s="60">
        <f>IF(U$1&lt;=DataSettings!$B$3,SUM($E157:G157),"")</f>
        <v>7219.91</v>
      </c>
      <c r="V157" s="60">
        <f>IF(V$1&lt;=DataSettings!$B$3,SUM($E157:H157),"")</f>
        <v>7219.91</v>
      </c>
      <c r="W157" s="60">
        <f>IF(W$1&lt;=DataSettings!$B$3,SUM($E157:I157),"")</f>
        <v>7219.91</v>
      </c>
      <c r="X157" s="60">
        <f>IF(X$1&lt;=DataSettings!$B$3,SUM($E157:J157),"")</f>
        <v>7219.91</v>
      </c>
      <c r="Y157" s="60">
        <f>IF(Y$1&lt;=DataSettings!$B$3,SUM($E157:K157),"")</f>
        <v>7219.91</v>
      </c>
      <c r="Z157" s="60">
        <f>IF(Z$1&lt;=DataSettings!$B$3,SUM($E157:L157),"")</f>
        <v>7219.91</v>
      </c>
      <c r="AA157" s="60">
        <f>IF(AA$1&lt;=DataSettings!$B$3,SUM($E157:M157),"")</f>
        <v>7219.91</v>
      </c>
      <c r="AB157" s="60" t="str">
        <f>IF(AB$1&lt;=DataSettings!$B$3,SUM($E157:N157),"")</f>
        <v/>
      </c>
      <c r="AC157" s="60" t="str">
        <f>IF(AC$1&lt;=DataSettings!$B$3,SUM($E157:O157),"")</f>
        <v/>
      </c>
      <c r="AD157" s="60" t="str">
        <f>IF(AD$1&lt;=DataSettings!$B$3,SUM($E157:P157),"")</f>
        <v/>
      </c>
      <c r="AE157" s="60" t="str">
        <f>IF(AE$1&lt;=DataSettings!$B$3,SUM($E157:Q157),"")</f>
        <v/>
      </c>
    </row>
    <row r="158">
      <c r="A158" s="41" t="s">
        <v>18</v>
      </c>
      <c r="B158" s="41" t="s">
        <v>36</v>
      </c>
      <c r="C158" s="41" t="s">
        <v>15</v>
      </c>
      <c r="D158" s="59" t="s">
        <v>61</v>
      </c>
      <c r="E158" s="60">
        <f>IFERROR(VLOOKUP($D158,qboIS!$A$7:$O$112,COLUMN(E158)-2,FALSE),"")</f>
        <v>7990.51</v>
      </c>
      <c r="F158" s="60" t="str">
        <f>IFERROR(VLOOKUP($D158,qboIS!$A$7:$O$112,COLUMN(F158)-2,FALSE),"")</f>
        <v/>
      </c>
      <c r="G158" s="60" t="str">
        <f>IFERROR(VLOOKUP($D158,qboIS!$A$7:$O$112,COLUMN(G158)-2,FALSE),"")</f>
        <v/>
      </c>
      <c r="H158" s="60" t="str">
        <f>IFERROR(VLOOKUP($D158,qboIS!$A$7:$O$112,COLUMN(H158)-2,FALSE),"")</f>
        <v/>
      </c>
      <c r="I158" s="60" t="str">
        <f>IFERROR(VLOOKUP($D158,qboIS!$A$7:$O$112,COLUMN(I158)-2,FALSE),"")</f>
        <v/>
      </c>
      <c r="J158" s="60" t="str">
        <f>IFERROR(VLOOKUP($D158,qboIS!$A$7:$O$112,COLUMN(J158)-2,FALSE),"")</f>
        <v/>
      </c>
      <c r="K158" s="60" t="str">
        <f>IFERROR(VLOOKUP($D158,qboIS!$A$7:$O$112,COLUMN(K158)-2,FALSE),"")</f>
        <v/>
      </c>
      <c r="L158" s="60" t="str">
        <f>IFERROR(VLOOKUP($D158,qboIS!$A$7:$O$112,COLUMN(L158)-2,FALSE),"")</f>
        <v/>
      </c>
      <c r="M158" s="60" t="str">
        <f>IFERROR(VLOOKUP($D158,qboIS!$A$7:$O$112,COLUMN(M158)-2,FALSE),"")</f>
        <v/>
      </c>
      <c r="N158" s="60">
        <f>IFERROR(VLOOKUP($D158,qboIS!$A$7:$O$112,COLUMN(N158)-2,FALSE),"")</f>
        <v>7990.51</v>
      </c>
      <c r="O158" s="60" t="str">
        <f>IFERROR(VLOOKUP($D158,qboIS!$A$7:$O$112,COLUMN(O158)-2,FALSE),"")</f>
        <v/>
      </c>
      <c r="P158" s="60" t="str">
        <f>IFERROR(VLOOKUP($D158,qboIS!$A$7:$O$112,COLUMN(P158)-2,FALSE),"")</f>
        <v/>
      </c>
      <c r="Q158" s="60" t="str">
        <f>IFERROR(VLOOKUP($D158,qboIS!$A$7:$O$112,COLUMN(Q158)-2,FALSE),"")</f>
        <v/>
      </c>
      <c r="R158" s="60"/>
      <c r="S158" s="60">
        <f>IF(S$1&lt;=DataSettings!$B$3,SUM($E158:E158),"")</f>
        <v>7990.51</v>
      </c>
      <c r="T158" s="60">
        <f>IF(T$1&lt;=DataSettings!$B$3,SUM($E158:F158),"")</f>
        <v>7990.51</v>
      </c>
      <c r="U158" s="60">
        <f>IF(U$1&lt;=DataSettings!$B$3,SUM($E158:G158),"")</f>
        <v>7990.51</v>
      </c>
      <c r="V158" s="60">
        <f>IF(V$1&lt;=DataSettings!$B$3,SUM($E158:H158),"")</f>
        <v>7990.51</v>
      </c>
      <c r="W158" s="60">
        <f>IF(W$1&lt;=DataSettings!$B$3,SUM($E158:I158),"")</f>
        <v>7990.51</v>
      </c>
      <c r="X158" s="60">
        <f>IF(X$1&lt;=DataSettings!$B$3,SUM($E158:J158),"")</f>
        <v>7990.51</v>
      </c>
      <c r="Y158" s="60">
        <f>IF(Y$1&lt;=DataSettings!$B$3,SUM($E158:K158),"")</f>
        <v>7990.51</v>
      </c>
      <c r="Z158" s="60">
        <f>IF(Z$1&lt;=DataSettings!$B$3,SUM($E158:L158),"")</f>
        <v>7990.51</v>
      </c>
      <c r="AA158" s="60">
        <f>IF(AA$1&lt;=DataSettings!$B$3,SUM($E158:M158),"")</f>
        <v>7990.51</v>
      </c>
      <c r="AB158" s="60" t="str">
        <f>IF(AB$1&lt;=DataSettings!$B$3,SUM($E158:N158),"")</f>
        <v/>
      </c>
      <c r="AC158" s="60" t="str">
        <f>IF(AC$1&lt;=DataSettings!$B$3,SUM($E158:O158),"")</f>
        <v/>
      </c>
      <c r="AD158" s="60" t="str">
        <f>IF(AD$1&lt;=DataSettings!$B$3,SUM($E158:P158),"")</f>
        <v/>
      </c>
      <c r="AE158" s="60" t="str">
        <f>IF(AE$1&lt;=DataSettings!$B$3,SUM($E158:Q158),"")</f>
        <v/>
      </c>
    </row>
    <row r="159">
      <c r="A159" s="41" t="s">
        <v>18</v>
      </c>
      <c r="B159" s="41" t="s">
        <v>36</v>
      </c>
      <c r="C159" s="41" t="s">
        <v>15</v>
      </c>
      <c r="D159" s="59" t="s">
        <v>120</v>
      </c>
      <c r="E159" s="60" t="str">
        <f>IFERROR(VLOOKUP($D159,qboIS!$A$7:$O$112,COLUMN(E159)-2,FALSE),"")</f>
        <v/>
      </c>
      <c r="F159" s="60" t="str">
        <f>IFERROR(VLOOKUP($D159,qboIS!$A$7:$O$112,COLUMN(F159)-2,FALSE),"")</f>
        <v/>
      </c>
      <c r="G159" s="60" t="str">
        <f>IFERROR(VLOOKUP($D159,qboIS!$A$7:$O$112,COLUMN(G159)-2,FALSE),"")</f>
        <v/>
      </c>
      <c r="H159" s="60" t="str">
        <f>IFERROR(VLOOKUP($D159,qboIS!$A$7:$O$112,COLUMN(H159)-2,FALSE),"")</f>
        <v/>
      </c>
      <c r="I159" s="60" t="str">
        <f>IFERROR(VLOOKUP($D159,qboIS!$A$7:$O$112,COLUMN(I159)-2,FALSE),"")</f>
        <v/>
      </c>
      <c r="J159" s="60" t="str">
        <f>IFERROR(VLOOKUP($D159,qboIS!$A$7:$O$112,COLUMN(J159)-2,FALSE),"")</f>
        <v/>
      </c>
      <c r="K159" s="60">
        <f>IFERROR(VLOOKUP($D159,qboIS!$A$7:$O$112,COLUMN(K159)-2,FALSE),"")</f>
        <v>6104.46</v>
      </c>
      <c r="L159" s="60" t="str">
        <f>IFERROR(VLOOKUP($D159,qboIS!$A$7:$O$112,COLUMN(L159)-2,FALSE),"")</f>
        <v/>
      </c>
      <c r="M159" s="60" t="str">
        <f>IFERROR(VLOOKUP($D159,qboIS!$A$7:$O$112,COLUMN(M159)-2,FALSE),"")</f>
        <v/>
      </c>
      <c r="N159" s="60">
        <f>IFERROR(VLOOKUP($D159,qboIS!$A$7:$O$112,COLUMN(N159)-2,FALSE),"")</f>
        <v>6104.46</v>
      </c>
      <c r="O159" s="60" t="str">
        <f>IFERROR(VLOOKUP($D159,qboIS!$A$7:$O$112,COLUMN(O159)-2,FALSE),"")</f>
        <v/>
      </c>
      <c r="P159" s="60" t="str">
        <f>IFERROR(VLOOKUP($D159,qboIS!$A$7:$O$112,COLUMN(P159)-2,FALSE),"")</f>
        <v/>
      </c>
      <c r="Q159" s="60" t="str">
        <f>IFERROR(VLOOKUP($D159,qboIS!$A$7:$O$112,COLUMN(Q159)-2,FALSE),"")</f>
        <v/>
      </c>
      <c r="R159" s="60"/>
      <c r="S159" s="60">
        <f>IF(S$1&lt;=DataSettings!$B$3,SUM($E159:E159),"")</f>
        <v>0</v>
      </c>
      <c r="T159" s="60">
        <f>IF(T$1&lt;=DataSettings!$B$3,SUM($E159:F159),"")</f>
        <v>0</v>
      </c>
      <c r="U159" s="60">
        <f>IF(U$1&lt;=DataSettings!$B$3,SUM($E159:G159),"")</f>
        <v>0</v>
      </c>
      <c r="V159" s="60">
        <f>IF(V$1&lt;=DataSettings!$B$3,SUM($E159:H159),"")</f>
        <v>0</v>
      </c>
      <c r="W159" s="60">
        <f>IF(W$1&lt;=DataSettings!$B$3,SUM($E159:I159),"")</f>
        <v>0</v>
      </c>
      <c r="X159" s="60">
        <f>IF(X$1&lt;=DataSettings!$B$3,SUM($E159:J159),"")</f>
        <v>0</v>
      </c>
      <c r="Y159" s="60">
        <f>IF(Y$1&lt;=DataSettings!$B$3,SUM($E159:K159),"")</f>
        <v>6104.46</v>
      </c>
      <c r="Z159" s="60">
        <f>IF(Z$1&lt;=DataSettings!$B$3,SUM($E159:L159),"")</f>
        <v>6104.46</v>
      </c>
      <c r="AA159" s="60">
        <f>IF(AA$1&lt;=DataSettings!$B$3,SUM($E159:M159),"")</f>
        <v>6104.46</v>
      </c>
      <c r="AB159" s="60" t="str">
        <f>IF(AB$1&lt;=DataSettings!$B$3,SUM($E159:N159),"")</f>
        <v/>
      </c>
      <c r="AC159" s="60" t="str">
        <f>IF(AC$1&lt;=DataSettings!$B$3,SUM($E159:O159),"")</f>
        <v/>
      </c>
      <c r="AD159" s="60" t="str">
        <f>IF(AD$1&lt;=DataSettings!$B$3,SUM($E159:P159),"")</f>
        <v/>
      </c>
      <c r="AE159" s="60" t="str">
        <f>IF(AE$1&lt;=DataSettings!$B$3,SUM($E159:Q159),"")</f>
        <v/>
      </c>
    </row>
    <row r="160">
      <c r="A160" s="41" t="s">
        <v>18</v>
      </c>
      <c r="B160" s="41" t="s">
        <v>36</v>
      </c>
      <c r="C160" s="41" t="s">
        <v>15</v>
      </c>
      <c r="D160" s="59" t="s">
        <v>62</v>
      </c>
      <c r="E160" s="60" t="str">
        <f>IFERROR(VLOOKUP($D160,qboIS!$A$7:$O$112,COLUMN(E160)-2,FALSE),"")</f>
        <v/>
      </c>
      <c r="F160" s="60" t="str">
        <f>IFERROR(VLOOKUP($D160,qboIS!$A$7:$O$112,COLUMN(F160)-2,FALSE),"")</f>
        <v/>
      </c>
      <c r="G160" s="60" t="str">
        <f>IFERROR(VLOOKUP($D160,qboIS!$A$7:$O$112,COLUMN(G160)-2,FALSE),"")</f>
        <v/>
      </c>
      <c r="H160" s="60">
        <f>IFERROR(VLOOKUP($D160,qboIS!$A$7:$O$112,COLUMN(H160)-2,FALSE),"")</f>
        <v>392891.84</v>
      </c>
      <c r="I160" s="60" t="str">
        <f>IFERROR(VLOOKUP($D160,qboIS!$A$7:$O$112,COLUMN(I160)-2,FALSE),"")</f>
        <v/>
      </c>
      <c r="J160" s="60" t="str">
        <f>IFERROR(VLOOKUP($D160,qboIS!$A$7:$O$112,COLUMN(J160)-2,FALSE),"")</f>
        <v/>
      </c>
      <c r="K160" s="60" t="str">
        <f>IFERROR(VLOOKUP($D160,qboIS!$A$7:$O$112,COLUMN(K160)-2,FALSE),"")</f>
        <v/>
      </c>
      <c r="L160" s="60" t="str">
        <f>IFERROR(VLOOKUP($D160,qboIS!$A$7:$O$112,COLUMN(L160)-2,FALSE),"")</f>
        <v/>
      </c>
      <c r="M160" s="60" t="str">
        <f>IFERROR(VLOOKUP($D160,qboIS!$A$7:$O$112,COLUMN(M160)-2,FALSE),"")</f>
        <v/>
      </c>
      <c r="N160" s="60">
        <f>IFERROR(VLOOKUP($D160,qboIS!$A$7:$O$112,COLUMN(N160)-2,FALSE),"")</f>
        <v>392891.84</v>
      </c>
      <c r="O160" s="60" t="str">
        <f>IFERROR(VLOOKUP($D160,qboIS!$A$7:$O$112,COLUMN(O160)-2,FALSE),"")</f>
        <v/>
      </c>
      <c r="P160" s="60" t="str">
        <f>IFERROR(VLOOKUP($D160,qboIS!$A$7:$O$112,COLUMN(P160)-2,FALSE),"")</f>
        <v/>
      </c>
      <c r="Q160" s="60" t="str">
        <f>IFERROR(VLOOKUP($D160,qboIS!$A$7:$O$112,COLUMN(Q160)-2,FALSE),"")</f>
        <v/>
      </c>
      <c r="R160" s="60"/>
      <c r="S160" s="60">
        <f>IF(S$1&lt;=DataSettings!$B$3,SUM($E160:E160),"")</f>
        <v>0</v>
      </c>
      <c r="T160" s="60">
        <f>IF(T$1&lt;=DataSettings!$B$3,SUM($E160:F160),"")</f>
        <v>0</v>
      </c>
      <c r="U160" s="60">
        <f>IF(U$1&lt;=DataSettings!$B$3,SUM($E160:G160),"")</f>
        <v>0</v>
      </c>
      <c r="V160" s="60">
        <f>IF(V$1&lt;=DataSettings!$B$3,SUM($E160:H160),"")</f>
        <v>392891.84</v>
      </c>
      <c r="W160" s="60">
        <f>IF(W$1&lt;=DataSettings!$B$3,SUM($E160:I160),"")</f>
        <v>392891.84</v>
      </c>
      <c r="X160" s="60">
        <f>IF(X$1&lt;=DataSettings!$B$3,SUM($E160:J160),"")</f>
        <v>392891.84</v>
      </c>
      <c r="Y160" s="60">
        <f>IF(Y$1&lt;=DataSettings!$B$3,SUM($E160:K160),"")</f>
        <v>392891.84</v>
      </c>
      <c r="Z160" s="60">
        <f>IF(Z$1&lt;=DataSettings!$B$3,SUM($E160:L160),"")</f>
        <v>392891.84</v>
      </c>
      <c r="AA160" s="60">
        <f>IF(AA$1&lt;=DataSettings!$B$3,SUM($E160:M160),"")</f>
        <v>392891.84</v>
      </c>
      <c r="AB160" s="60" t="str">
        <f>IF(AB$1&lt;=DataSettings!$B$3,SUM($E160:N160),"")</f>
        <v/>
      </c>
      <c r="AC160" s="60" t="str">
        <f>IF(AC$1&lt;=DataSettings!$B$3,SUM($E160:O160),"")</f>
        <v/>
      </c>
      <c r="AD160" s="60" t="str">
        <f>IF(AD$1&lt;=DataSettings!$B$3,SUM($E160:P160),"")</f>
        <v/>
      </c>
      <c r="AE160" s="60" t="str">
        <f>IF(AE$1&lt;=DataSettings!$B$3,SUM($E160:Q160),"")</f>
        <v/>
      </c>
    </row>
    <row r="161">
      <c r="A161" s="41" t="s">
        <v>18</v>
      </c>
      <c r="B161" s="41" t="s">
        <v>36</v>
      </c>
      <c r="C161" s="41" t="s">
        <v>17</v>
      </c>
      <c r="D161" s="59" t="s">
        <v>121</v>
      </c>
      <c r="E161" s="60">
        <f>IFERROR(VLOOKUP($D161,qboIS!$A$7:$O$112,COLUMN(E161)-2,FALSE),"")</f>
        <v>2804.38</v>
      </c>
      <c r="F161" s="60" t="str">
        <f>IFERROR(VLOOKUP($D161,qboIS!$A$7:$O$112,COLUMN(F161)-2,FALSE),"")</f>
        <v/>
      </c>
      <c r="G161" s="60" t="str">
        <f>IFERROR(VLOOKUP($D161,qboIS!$A$7:$O$112,COLUMN(G161)-2,FALSE),"")</f>
        <v/>
      </c>
      <c r="H161" s="60" t="str">
        <f>IFERROR(VLOOKUP($D161,qboIS!$A$7:$O$112,COLUMN(H161)-2,FALSE),"")</f>
        <v/>
      </c>
      <c r="I161" s="60" t="str">
        <f>IFERROR(VLOOKUP($D161,qboIS!$A$7:$O$112,COLUMN(I161)-2,FALSE),"")</f>
        <v/>
      </c>
      <c r="J161" s="60" t="str">
        <f>IFERROR(VLOOKUP($D161,qboIS!$A$7:$O$112,COLUMN(J161)-2,FALSE),"")</f>
        <v/>
      </c>
      <c r="K161" s="60" t="str">
        <f>IFERROR(VLOOKUP($D161,qboIS!$A$7:$O$112,COLUMN(K161)-2,FALSE),"")</f>
        <v/>
      </c>
      <c r="L161" s="60" t="str">
        <f>IFERROR(VLOOKUP($D161,qboIS!$A$7:$O$112,COLUMN(L161)-2,FALSE),"")</f>
        <v/>
      </c>
      <c r="M161" s="60" t="str">
        <f>IFERROR(VLOOKUP($D161,qboIS!$A$7:$O$112,COLUMN(M161)-2,FALSE),"")</f>
        <v/>
      </c>
      <c r="N161" s="60">
        <f>IFERROR(VLOOKUP($D161,qboIS!$A$7:$O$112,COLUMN(N161)-2,FALSE),"")</f>
        <v>2804.38</v>
      </c>
      <c r="O161" s="60" t="str">
        <f>IFERROR(VLOOKUP($D161,qboIS!$A$7:$O$112,COLUMN(O161)-2,FALSE),"")</f>
        <v/>
      </c>
      <c r="P161" s="60" t="str">
        <f>IFERROR(VLOOKUP($D161,qboIS!$A$7:$O$112,COLUMN(P161)-2,FALSE),"")</f>
        <v/>
      </c>
      <c r="Q161" s="60" t="str">
        <f>IFERROR(VLOOKUP($D161,qboIS!$A$7:$O$112,COLUMN(Q161)-2,FALSE),"")</f>
        <v/>
      </c>
      <c r="R161" s="60"/>
      <c r="S161" s="60">
        <f>IF(S$1&lt;=DataSettings!$B$3,SUM($E161:E161),"")</f>
        <v>2804.38</v>
      </c>
      <c r="T161" s="60">
        <f>IF(T$1&lt;=DataSettings!$B$3,SUM($E161:F161),"")</f>
        <v>2804.38</v>
      </c>
      <c r="U161" s="60">
        <f>IF(U$1&lt;=DataSettings!$B$3,SUM($E161:G161),"")</f>
        <v>2804.38</v>
      </c>
      <c r="V161" s="60">
        <f>IF(V$1&lt;=DataSettings!$B$3,SUM($E161:H161),"")</f>
        <v>2804.38</v>
      </c>
      <c r="W161" s="60">
        <f>IF(W$1&lt;=DataSettings!$B$3,SUM($E161:I161),"")</f>
        <v>2804.38</v>
      </c>
      <c r="X161" s="60">
        <f>IF(X$1&lt;=DataSettings!$B$3,SUM($E161:J161),"")</f>
        <v>2804.38</v>
      </c>
      <c r="Y161" s="60">
        <f>IF(Y$1&lt;=DataSettings!$B$3,SUM($E161:K161),"")</f>
        <v>2804.38</v>
      </c>
      <c r="Z161" s="60">
        <f>IF(Z$1&lt;=DataSettings!$B$3,SUM($E161:L161),"")</f>
        <v>2804.38</v>
      </c>
      <c r="AA161" s="60">
        <f>IF(AA$1&lt;=DataSettings!$B$3,SUM($E161:M161),"")</f>
        <v>2804.38</v>
      </c>
      <c r="AB161" s="60" t="str">
        <f>IF(AB$1&lt;=DataSettings!$B$3,SUM($E161:N161),"")</f>
        <v/>
      </c>
      <c r="AC161" s="60" t="str">
        <f>IF(AC$1&lt;=DataSettings!$B$3,SUM($E161:O161),"")</f>
        <v/>
      </c>
      <c r="AD161" s="60" t="str">
        <f>IF(AD$1&lt;=DataSettings!$B$3,SUM($E161:P161),"")</f>
        <v/>
      </c>
      <c r="AE161" s="60" t="str">
        <f>IF(AE$1&lt;=DataSettings!$B$3,SUM($E161:Q161),"")</f>
        <v/>
      </c>
    </row>
    <row r="162" hidden="1">
      <c r="A162" s="41" t="s">
        <v>18</v>
      </c>
      <c r="B162" s="41" t="s">
        <v>35</v>
      </c>
      <c r="C162" s="41" t="s">
        <v>25</v>
      </c>
      <c r="D162" s="59" t="s">
        <v>122</v>
      </c>
      <c r="E162" s="60" t="str">
        <f>IFERROR(VLOOKUP($D162,qboIS!$A$7:$O$112,COLUMN(E162)-2,FALSE),"")</f>
        <v/>
      </c>
      <c r="F162" s="60" t="str">
        <f>IFERROR(VLOOKUP($D162,qboIS!$A$7:$O$112,COLUMN(F162)-2,FALSE),"")</f>
        <v/>
      </c>
      <c r="G162" s="60" t="str">
        <f>IFERROR(VLOOKUP($D162,qboIS!$A$7:$O$112,COLUMN(G162)-2,FALSE),"")</f>
        <v/>
      </c>
      <c r="H162" s="60" t="str">
        <f>IFERROR(VLOOKUP($D162,qboIS!$A$7:$O$112,COLUMN(H162)-2,FALSE),"")</f>
        <v/>
      </c>
      <c r="I162" s="60" t="str">
        <f>IFERROR(VLOOKUP($D162,qboIS!$A$7:$O$112,COLUMN(I162)-2,FALSE),"")</f>
        <v/>
      </c>
      <c r="J162" s="60">
        <f>IFERROR(VLOOKUP($D162,qboIS!$A$7:$O$112,COLUMN(J162)-2,FALSE),"")</f>
        <v>276</v>
      </c>
      <c r="K162" s="60" t="str">
        <f>IFERROR(VLOOKUP($D162,qboIS!$A$7:$O$112,COLUMN(K162)-2,FALSE),"")</f>
        <v/>
      </c>
      <c r="L162" s="60" t="str">
        <f>IFERROR(VLOOKUP($D162,qboIS!$A$7:$O$112,COLUMN(L162)-2,FALSE),"")</f>
        <v/>
      </c>
      <c r="M162" s="60" t="str">
        <f>IFERROR(VLOOKUP($D162,qboIS!$A$7:$O$112,COLUMN(M162)-2,FALSE),"")</f>
        <v/>
      </c>
      <c r="N162" s="60">
        <f>IFERROR(VLOOKUP($D162,qboIS!$A$7:$O$112,COLUMN(N162)-2,FALSE),"")</f>
        <v>276</v>
      </c>
      <c r="O162" s="60" t="str">
        <f>IFERROR(VLOOKUP($D162,qboIS!$A$7:$O$112,COLUMN(O162)-2,FALSE),"")</f>
        <v/>
      </c>
      <c r="P162" s="60" t="str">
        <f>IFERROR(VLOOKUP($D162,qboIS!$A$7:$O$112,COLUMN(P162)-2,FALSE),"")</f>
        <v/>
      </c>
      <c r="Q162" s="60" t="str">
        <f>IFERROR(VLOOKUP($D162,qboIS!$A$7:$O$112,COLUMN(Q162)-2,FALSE),"")</f>
        <v/>
      </c>
      <c r="R162" s="60"/>
      <c r="S162" s="60">
        <f>IF(S$1&lt;=DataSettings!$B$3,SUM($E162:E162),"")</f>
        <v>0</v>
      </c>
      <c r="T162" s="60">
        <f>IF(T$1&lt;=DataSettings!$B$3,SUM($E162:F162),"")</f>
        <v>0</v>
      </c>
      <c r="U162" s="60">
        <f>IF(U$1&lt;=DataSettings!$B$3,SUM($E162:G162),"")</f>
        <v>0</v>
      </c>
      <c r="V162" s="60">
        <f>IF(V$1&lt;=DataSettings!$B$3,SUM($E162:H162),"")</f>
        <v>0</v>
      </c>
      <c r="W162" s="60">
        <f>IF(W$1&lt;=DataSettings!$B$3,SUM($E162:I162),"")</f>
        <v>0</v>
      </c>
      <c r="X162" s="60">
        <f>IF(X$1&lt;=DataSettings!$B$3,SUM($E162:J162),"")</f>
        <v>276</v>
      </c>
      <c r="Y162" s="60">
        <f>IF(Y$1&lt;=DataSettings!$B$3,SUM($E162:K162),"")</f>
        <v>276</v>
      </c>
      <c r="Z162" s="60">
        <f>IF(Z$1&lt;=DataSettings!$B$3,SUM($E162:L162),"")</f>
        <v>276</v>
      </c>
      <c r="AA162" s="60">
        <f>IF(AA$1&lt;=DataSettings!$B$3,SUM($E162:M162),"")</f>
        <v>276</v>
      </c>
      <c r="AB162" s="60" t="str">
        <f>IF(AB$1&lt;=DataSettings!$B$3,SUM($E162:N162),"")</f>
        <v/>
      </c>
      <c r="AC162" s="60" t="str">
        <f>IF(AC$1&lt;=DataSettings!$B$3,SUM($E162:O162),"")</f>
        <v/>
      </c>
      <c r="AD162" s="60" t="str">
        <f>IF(AD$1&lt;=DataSettings!$B$3,SUM($E162:P162),"")</f>
        <v/>
      </c>
      <c r="AE162" s="60" t="str">
        <f>IF(AE$1&lt;=DataSettings!$B$3,SUM($E162:Q162),"")</f>
        <v/>
      </c>
    </row>
    <row r="163" hidden="1">
      <c r="A163" s="41" t="s">
        <v>18</v>
      </c>
      <c r="B163" s="41" t="s">
        <v>35</v>
      </c>
      <c r="C163" s="41" t="s">
        <v>27</v>
      </c>
      <c r="D163" s="59" t="s">
        <v>123</v>
      </c>
      <c r="E163" s="60" t="str">
        <f>IFERROR(VLOOKUP($D163,qboIS!$A$7:$O$112,COLUMN(E163)-2,FALSE),"")</f>
        <v/>
      </c>
      <c r="F163" s="60">
        <f>IFERROR(VLOOKUP($D163,qboIS!$A$7:$O$112,COLUMN(F163)-2,FALSE),"")</f>
        <v>21843.25</v>
      </c>
      <c r="G163" s="60">
        <f>IFERROR(VLOOKUP($D163,qboIS!$A$7:$O$112,COLUMN(G163)-2,FALSE),"")</f>
        <v>925</v>
      </c>
      <c r="H163" s="60" t="str">
        <f>IFERROR(VLOOKUP($D163,qboIS!$A$7:$O$112,COLUMN(H163)-2,FALSE),"")</f>
        <v/>
      </c>
      <c r="I163" s="60" t="str">
        <f>IFERROR(VLOOKUP($D163,qboIS!$A$7:$O$112,COLUMN(I163)-2,FALSE),"")</f>
        <v/>
      </c>
      <c r="J163" s="60">
        <f>IFERROR(VLOOKUP($D163,qboIS!$A$7:$O$112,COLUMN(J163)-2,FALSE),"")</f>
        <v>425</v>
      </c>
      <c r="K163" s="60" t="str">
        <f>IFERROR(VLOOKUP($D163,qboIS!$A$7:$O$112,COLUMN(K163)-2,FALSE),"")</f>
        <v/>
      </c>
      <c r="L163" s="60">
        <f>IFERROR(VLOOKUP($D163,qboIS!$A$7:$O$112,COLUMN(L163)-2,FALSE),"")</f>
        <v>8000</v>
      </c>
      <c r="M163" s="60" t="str">
        <f>IFERROR(VLOOKUP($D163,qboIS!$A$7:$O$112,COLUMN(M163)-2,FALSE),"")</f>
        <v/>
      </c>
      <c r="N163" s="60">
        <f>IFERROR(VLOOKUP($D163,qboIS!$A$7:$O$112,COLUMN(N163)-2,FALSE),"")</f>
        <v>31193.25</v>
      </c>
      <c r="O163" s="60" t="str">
        <f>IFERROR(VLOOKUP($D163,qboIS!$A$7:$O$112,COLUMN(O163)-2,FALSE),"")</f>
        <v/>
      </c>
      <c r="P163" s="60" t="str">
        <f>IFERROR(VLOOKUP($D163,qboIS!$A$7:$O$112,COLUMN(P163)-2,FALSE),"")</f>
        <v/>
      </c>
      <c r="Q163" s="60" t="str">
        <f>IFERROR(VLOOKUP($D163,qboIS!$A$7:$O$112,COLUMN(Q163)-2,FALSE),"")</f>
        <v/>
      </c>
      <c r="R163" s="60"/>
      <c r="S163" s="60">
        <f>IF(S$1&lt;=DataSettings!$B$3,SUM($E163:E163),"")</f>
        <v>0</v>
      </c>
      <c r="T163" s="60">
        <f>IF(T$1&lt;=DataSettings!$B$3,SUM($E163:F163),"")</f>
        <v>21843.25</v>
      </c>
      <c r="U163" s="60">
        <f>IF(U$1&lt;=DataSettings!$B$3,SUM($E163:G163),"")</f>
        <v>22768.25</v>
      </c>
      <c r="V163" s="60">
        <f>IF(V$1&lt;=DataSettings!$B$3,SUM($E163:H163),"")</f>
        <v>22768.25</v>
      </c>
      <c r="W163" s="60">
        <f>IF(W$1&lt;=DataSettings!$B$3,SUM($E163:I163),"")</f>
        <v>22768.25</v>
      </c>
      <c r="X163" s="60">
        <f>IF(X$1&lt;=DataSettings!$B$3,SUM($E163:J163),"")</f>
        <v>23193.25</v>
      </c>
      <c r="Y163" s="60">
        <f>IF(Y$1&lt;=DataSettings!$B$3,SUM($E163:K163),"")</f>
        <v>23193.25</v>
      </c>
      <c r="Z163" s="60">
        <f>IF(Z$1&lt;=DataSettings!$B$3,SUM($E163:L163),"")</f>
        <v>31193.25</v>
      </c>
      <c r="AA163" s="60">
        <f>IF(AA$1&lt;=DataSettings!$B$3,SUM($E163:M163),"")</f>
        <v>31193.25</v>
      </c>
      <c r="AB163" s="60" t="str">
        <f>IF(AB$1&lt;=DataSettings!$B$3,SUM($E163:N163),"")</f>
        <v/>
      </c>
      <c r="AC163" s="60" t="str">
        <f>IF(AC$1&lt;=DataSettings!$B$3,SUM($E163:O163),"")</f>
        <v/>
      </c>
      <c r="AD163" s="60" t="str">
        <f>IF(AD$1&lt;=DataSettings!$B$3,SUM($E163:P163),"")</f>
        <v/>
      </c>
      <c r="AE163" s="60" t="str">
        <f>IF(AE$1&lt;=DataSettings!$B$3,SUM($E163:Q163),"")</f>
        <v/>
      </c>
    </row>
    <row r="164" hidden="1">
      <c r="A164" s="41" t="s">
        <v>18</v>
      </c>
      <c r="B164" s="41" t="s">
        <v>35</v>
      </c>
      <c r="C164" s="41" t="s">
        <v>28</v>
      </c>
      <c r="D164" s="41" t="s">
        <v>124</v>
      </c>
      <c r="E164" s="60">
        <f>IFERROR(VLOOKUP($D164,qboIS!$A$7:$O$112,COLUMN(E164)-2,FALSE),"")</f>
        <v>25336</v>
      </c>
      <c r="F164" s="60">
        <f>IFERROR(VLOOKUP($D164,qboIS!$A$7:$O$112,COLUMN(F164)-2,FALSE),"")</f>
        <v>1100</v>
      </c>
      <c r="G164" s="60" t="str">
        <f>IFERROR(VLOOKUP($D164,qboIS!$A$7:$O$112,COLUMN(G164)-2,FALSE),"")</f>
        <v/>
      </c>
      <c r="H164" s="60" t="str">
        <f>IFERROR(VLOOKUP($D164,qboIS!$A$7:$O$112,COLUMN(H164)-2,FALSE),"")</f>
        <v/>
      </c>
      <c r="I164" s="60" t="str">
        <f>IFERROR(VLOOKUP($D164,qboIS!$A$7:$O$112,COLUMN(I164)-2,FALSE),"")</f>
        <v/>
      </c>
      <c r="J164" s="60">
        <f>IFERROR(VLOOKUP($D164,qboIS!$A$7:$O$112,COLUMN(J164)-2,FALSE),"")</f>
        <v>1108.8</v>
      </c>
      <c r="K164" s="60" t="str">
        <f>IFERROR(VLOOKUP($D164,qboIS!$A$7:$O$112,COLUMN(K164)-2,FALSE),"")</f>
        <v/>
      </c>
      <c r="L164" s="60" t="str">
        <f>IFERROR(VLOOKUP($D164,qboIS!$A$7:$O$112,COLUMN(L164)-2,FALSE),"")</f>
        <v/>
      </c>
      <c r="M164" s="60" t="str">
        <f>IFERROR(VLOOKUP($D164,qboIS!$A$7:$O$112,COLUMN(M164)-2,FALSE),"")</f>
        <v/>
      </c>
      <c r="N164" s="60">
        <f>IFERROR(VLOOKUP($D164,qboIS!$A$7:$O$112,COLUMN(N164)-2,FALSE),"")</f>
        <v>27544.8</v>
      </c>
      <c r="O164" s="60" t="str">
        <f>IFERROR(VLOOKUP($D164,qboIS!$A$7:$O$112,COLUMN(O164)-2,FALSE),"")</f>
        <v/>
      </c>
      <c r="P164" s="60" t="str">
        <f>IFERROR(VLOOKUP($D164,qboIS!$A$7:$O$112,COLUMN(P164)-2,FALSE),"")</f>
        <v/>
      </c>
      <c r="Q164" s="60" t="str">
        <f>IFERROR(VLOOKUP($D164,qboIS!$A$7:$O$112,COLUMN(Q164)-2,FALSE),"")</f>
        <v/>
      </c>
      <c r="R164" s="60"/>
      <c r="S164" s="60">
        <f>IF(S$1&lt;=DataSettings!$B$3,SUM($E164:E164),"")</f>
        <v>25336</v>
      </c>
      <c r="T164" s="60">
        <f>IF(T$1&lt;=DataSettings!$B$3,SUM($E164:F164),"")</f>
        <v>26436</v>
      </c>
      <c r="U164" s="60">
        <f>IF(U$1&lt;=DataSettings!$B$3,SUM($E164:G164),"")</f>
        <v>26436</v>
      </c>
      <c r="V164" s="60">
        <f>IF(V$1&lt;=DataSettings!$B$3,SUM($E164:H164),"")</f>
        <v>26436</v>
      </c>
      <c r="W164" s="60">
        <f>IF(W$1&lt;=DataSettings!$B$3,SUM($E164:I164),"")</f>
        <v>26436</v>
      </c>
      <c r="X164" s="60">
        <f>IF(X$1&lt;=DataSettings!$B$3,SUM($E164:J164),"")</f>
        <v>27544.8</v>
      </c>
      <c r="Y164" s="60">
        <f>IF(Y$1&lt;=DataSettings!$B$3,SUM($E164:K164),"")</f>
        <v>27544.8</v>
      </c>
      <c r="Z164" s="60">
        <f>IF(Z$1&lt;=DataSettings!$B$3,SUM($E164:L164),"")</f>
        <v>27544.8</v>
      </c>
      <c r="AA164" s="60">
        <f>IF(AA$1&lt;=DataSettings!$B$3,SUM($E164:M164),"")</f>
        <v>27544.8</v>
      </c>
      <c r="AB164" s="60" t="str">
        <f>IF(AB$1&lt;=DataSettings!$B$3,SUM($E164:N164),"")</f>
        <v/>
      </c>
      <c r="AC164" s="60" t="str">
        <f>IF(AC$1&lt;=DataSettings!$B$3,SUM($E164:O164),"")</f>
        <v/>
      </c>
      <c r="AD164" s="60" t="str">
        <f>IF(AD$1&lt;=DataSettings!$B$3,SUM($E164:P164),"")</f>
        <v/>
      </c>
      <c r="AE164" s="60" t="str">
        <f>IF(AE$1&lt;=DataSettings!$B$3,SUM($E164:Q164),"")</f>
        <v/>
      </c>
    </row>
    <row r="165" hidden="1">
      <c r="A165" s="41" t="s">
        <v>18</v>
      </c>
      <c r="B165" s="41" t="s">
        <v>35</v>
      </c>
      <c r="C165" s="41" t="s">
        <v>28</v>
      </c>
      <c r="D165" s="59" t="s">
        <v>125</v>
      </c>
      <c r="E165" s="60" t="str">
        <f>IFERROR(VLOOKUP($D165,qboIS!$A$7:$O$112,COLUMN(E165)-2,FALSE),"")</f>
        <v/>
      </c>
      <c r="F165" s="60" t="str">
        <f>IFERROR(VLOOKUP($D165,qboIS!$A$7:$O$112,COLUMN(F165)-2,FALSE),"")</f>
        <v/>
      </c>
      <c r="G165" s="60">
        <f>IFERROR(VLOOKUP($D165,qboIS!$A$7:$O$112,COLUMN(G165)-2,FALSE),"")</f>
        <v>398.65</v>
      </c>
      <c r="H165" s="60" t="str">
        <f>IFERROR(VLOOKUP($D165,qboIS!$A$7:$O$112,COLUMN(H165)-2,FALSE),"")</f>
        <v/>
      </c>
      <c r="I165" s="60" t="str">
        <f>IFERROR(VLOOKUP($D165,qboIS!$A$7:$O$112,COLUMN(I165)-2,FALSE),"")</f>
        <v/>
      </c>
      <c r="J165" s="60" t="str">
        <f>IFERROR(VLOOKUP($D165,qboIS!$A$7:$O$112,COLUMN(J165)-2,FALSE),"")</f>
        <v/>
      </c>
      <c r="K165" s="60">
        <f>IFERROR(VLOOKUP($D165,qboIS!$A$7:$O$112,COLUMN(K165)-2,FALSE),"")</f>
        <v>94.6</v>
      </c>
      <c r="L165" s="60">
        <f>IFERROR(VLOOKUP($D165,qboIS!$A$7:$O$112,COLUMN(L165)-2,FALSE),"")</f>
        <v>170.01</v>
      </c>
      <c r="M165" s="60">
        <f>IFERROR(VLOOKUP($D165,qboIS!$A$7:$O$112,COLUMN(M165)-2,FALSE),"")</f>
        <v>1278.63</v>
      </c>
      <c r="N165" s="60">
        <f>IFERROR(VLOOKUP($D165,qboIS!$A$7:$O$112,COLUMN(N165)-2,FALSE),"")</f>
        <v>1941.89</v>
      </c>
      <c r="O165" s="60" t="str">
        <f>IFERROR(VLOOKUP($D165,qboIS!$A$7:$O$112,COLUMN(O165)-2,FALSE),"")</f>
        <v/>
      </c>
      <c r="P165" s="60" t="str">
        <f>IFERROR(VLOOKUP($D165,qboIS!$A$7:$O$112,COLUMN(P165)-2,FALSE),"")</f>
        <v/>
      </c>
      <c r="Q165" s="60" t="str">
        <f>IFERROR(VLOOKUP($D165,qboIS!$A$7:$O$112,COLUMN(Q165)-2,FALSE),"")</f>
        <v/>
      </c>
      <c r="R165" s="60"/>
      <c r="S165" s="60">
        <f>IF(S$1&lt;=DataSettings!$B$3,SUM($E165:E165),"")</f>
        <v>0</v>
      </c>
      <c r="T165" s="60">
        <f>IF(T$1&lt;=DataSettings!$B$3,SUM($E165:F165),"")</f>
        <v>0</v>
      </c>
      <c r="U165" s="60">
        <f>IF(U$1&lt;=DataSettings!$B$3,SUM($E165:G165),"")</f>
        <v>398.65</v>
      </c>
      <c r="V165" s="60">
        <f>IF(V$1&lt;=DataSettings!$B$3,SUM($E165:H165),"")</f>
        <v>398.65</v>
      </c>
      <c r="W165" s="60">
        <f>IF(W$1&lt;=DataSettings!$B$3,SUM($E165:I165),"")</f>
        <v>398.65</v>
      </c>
      <c r="X165" s="60">
        <f>IF(X$1&lt;=DataSettings!$B$3,SUM($E165:J165),"")</f>
        <v>398.65</v>
      </c>
      <c r="Y165" s="60">
        <f>IF(Y$1&lt;=DataSettings!$B$3,SUM($E165:K165),"")</f>
        <v>493.25</v>
      </c>
      <c r="Z165" s="60">
        <f>IF(Z$1&lt;=DataSettings!$B$3,SUM($E165:L165),"")</f>
        <v>663.26</v>
      </c>
      <c r="AA165" s="60">
        <f>IF(AA$1&lt;=DataSettings!$B$3,SUM($E165:M165),"")</f>
        <v>1941.89</v>
      </c>
      <c r="AB165" s="60" t="str">
        <f>IF(AB$1&lt;=DataSettings!$B$3,SUM($E165:N165),"")</f>
        <v/>
      </c>
      <c r="AC165" s="60" t="str">
        <f>IF(AC$1&lt;=DataSettings!$B$3,SUM($E165:O165),"")</f>
        <v/>
      </c>
      <c r="AD165" s="60" t="str">
        <f>IF(AD$1&lt;=DataSettings!$B$3,SUM($E165:P165),"")</f>
        <v/>
      </c>
      <c r="AE165" s="60" t="str">
        <f>IF(AE$1&lt;=DataSettings!$B$3,SUM($E165:Q165),"")</f>
        <v/>
      </c>
    </row>
    <row r="166" hidden="1">
      <c r="A166" s="41" t="s">
        <v>18</v>
      </c>
      <c r="B166" s="41" t="s">
        <v>35</v>
      </c>
      <c r="C166" s="41" t="s">
        <v>30</v>
      </c>
      <c r="D166" s="59" t="s">
        <v>126</v>
      </c>
      <c r="E166" s="60" t="str">
        <f>IFERROR(VLOOKUP($D166,qboIS!$A$7:$O$112,COLUMN(E166)-2,FALSE),"")</f>
        <v/>
      </c>
      <c r="F166" s="60">
        <f>IFERROR(VLOOKUP($D166,qboIS!$A$7:$O$112,COLUMN(F166)-2,FALSE),"")</f>
        <v>2</v>
      </c>
      <c r="G166" s="60" t="str">
        <f>IFERROR(VLOOKUP($D166,qboIS!$A$7:$O$112,COLUMN(G166)-2,FALSE),"")</f>
        <v/>
      </c>
      <c r="H166" s="60">
        <f>IFERROR(VLOOKUP($D166,qboIS!$A$7:$O$112,COLUMN(H166)-2,FALSE),"")</f>
        <v>4</v>
      </c>
      <c r="I166" s="60">
        <f>IFERROR(VLOOKUP($D166,qboIS!$A$7:$O$112,COLUMN(I166)-2,FALSE),"")</f>
        <v>12.99</v>
      </c>
      <c r="J166" s="60">
        <f>IFERROR(VLOOKUP($D166,qboIS!$A$7:$O$112,COLUMN(J166)-2,FALSE),"")</f>
        <v>478.86</v>
      </c>
      <c r="K166" s="60" t="str">
        <f>IFERROR(VLOOKUP($D166,qboIS!$A$7:$O$112,COLUMN(K166)-2,FALSE),"")</f>
        <v/>
      </c>
      <c r="L166" s="60">
        <f>IFERROR(VLOOKUP($D166,qboIS!$A$7:$O$112,COLUMN(L166)-2,FALSE),"")</f>
        <v>27.52</v>
      </c>
      <c r="M166" s="60" t="str">
        <f>IFERROR(VLOOKUP($D166,qboIS!$A$7:$O$112,COLUMN(M166)-2,FALSE),"")</f>
        <v/>
      </c>
      <c r="N166" s="60">
        <f>IFERROR(VLOOKUP($D166,qboIS!$A$7:$O$112,COLUMN(N166)-2,FALSE),"")</f>
        <v>525.37</v>
      </c>
      <c r="O166" s="60" t="str">
        <f>IFERROR(VLOOKUP($D166,qboIS!$A$7:$O$112,COLUMN(O166)-2,FALSE),"")</f>
        <v/>
      </c>
      <c r="P166" s="60" t="str">
        <f>IFERROR(VLOOKUP($D166,qboIS!$A$7:$O$112,COLUMN(P166)-2,FALSE),"")</f>
        <v/>
      </c>
      <c r="Q166" s="60" t="str">
        <f>IFERROR(VLOOKUP($D166,qboIS!$A$7:$O$112,COLUMN(Q166)-2,FALSE),"")</f>
        <v/>
      </c>
      <c r="R166" s="60"/>
      <c r="S166" s="60">
        <f>IF(S$1&lt;=DataSettings!$B$3,SUM($E166:E166),"")</f>
        <v>0</v>
      </c>
      <c r="T166" s="60">
        <f>IF(T$1&lt;=DataSettings!$B$3,SUM($E166:F166),"")</f>
        <v>2</v>
      </c>
      <c r="U166" s="60">
        <f>IF(U$1&lt;=DataSettings!$B$3,SUM($E166:G166),"")</f>
        <v>2</v>
      </c>
      <c r="V166" s="60">
        <f>IF(V$1&lt;=DataSettings!$B$3,SUM($E166:H166),"")</f>
        <v>6</v>
      </c>
      <c r="W166" s="60">
        <f>IF(W$1&lt;=DataSettings!$B$3,SUM($E166:I166),"")</f>
        <v>18.99</v>
      </c>
      <c r="X166" s="60">
        <f>IF(X$1&lt;=DataSettings!$B$3,SUM($E166:J166),"")</f>
        <v>497.85</v>
      </c>
      <c r="Y166" s="60">
        <f>IF(Y$1&lt;=DataSettings!$B$3,SUM($E166:K166),"")</f>
        <v>497.85</v>
      </c>
      <c r="Z166" s="60">
        <f>IF(Z$1&lt;=DataSettings!$B$3,SUM($E166:L166),"")</f>
        <v>525.37</v>
      </c>
      <c r="AA166" s="60">
        <f>IF(AA$1&lt;=DataSettings!$B$3,SUM($E166:M166),"")</f>
        <v>525.37</v>
      </c>
      <c r="AB166" s="60" t="str">
        <f>IF(AB$1&lt;=DataSettings!$B$3,SUM($E166:N166),"")</f>
        <v/>
      </c>
      <c r="AC166" s="60" t="str">
        <f>IF(AC$1&lt;=DataSettings!$B$3,SUM($E166:O166),"")</f>
        <v/>
      </c>
      <c r="AD166" s="60" t="str">
        <f>IF(AD$1&lt;=DataSettings!$B$3,SUM($E166:P166),"")</f>
        <v/>
      </c>
      <c r="AE166" s="60" t="str">
        <f>IF(AE$1&lt;=DataSettings!$B$3,SUM($E166:Q166),"")</f>
        <v/>
      </c>
    </row>
    <row r="167" hidden="1">
      <c r="A167" s="41" t="s">
        <v>18</v>
      </c>
      <c r="B167" s="41" t="s">
        <v>35</v>
      </c>
      <c r="C167" s="41" t="s">
        <v>30</v>
      </c>
      <c r="D167" s="59" t="s">
        <v>127</v>
      </c>
      <c r="E167" s="60" t="str">
        <f>IFERROR(VLOOKUP($D167,qboIS!$A$7:$O$112,COLUMN(E167)-2,FALSE),"")</f>
        <v/>
      </c>
      <c r="F167" s="60" t="str">
        <f>IFERROR(VLOOKUP($D167,qboIS!$A$7:$O$112,COLUMN(F167)-2,FALSE),"")</f>
        <v/>
      </c>
      <c r="G167" s="60" t="str">
        <f>IFERROR(VLOOKUP($D167,qboIS!$A$7:$O$112,COLUMN(G167)-2,FALSE),"")</f>
        <v/>
      </c>
      <c r="H167" s="60" t="str">
        <f>IFERROR(VLOOKUP($D167,qboIS!$A$7:$O$112,COLUMN(H167)-2,FALSE),"")</f>
        <v/>
      </c>
      <c r="I167" s="60" t="str">
        <f>IFERROR(VLOOKUP($D167,qboIS!$A$7:$O$112,COLUMN(I167)-2,FALSE),"")</f>
        <v/>
      </c>
      <c r="J167" s="60">
        <f>IFERROR(VLOOKUP($D167,qboIS!$A$7:$O$112,COLUMN(J167)-2,FALSE),"")</f>
        <v>47.5</v>
      </c>
      <c r="K167" s="60" t="str">
        <f>IFERROR(VLOOKUP($D167,qboIS!$A$7:$O$112,COLUMN(K167)-2,FALSE),"")</f>
        <v/>
      </c>
      <c r="L167" s="60" t="str">
        <f>IFERROR(VLOOKUP($D167,qboIS!$A$7:$O$112,COLUMN(L167)-2,FALSE),"")</f>
        <v/>
      </c>
      <c r="M167" s="60" t="str">
        <f>IFERROR(VLOOKUP($D167,qboIS!$A$7:$O$112,COLUMN(M167)-2,FALSE),"")</f>
        <v/>
      </c>
      <c r="N167" s="60">
        <f>IFERROR(VLOOKUP($D167,qboIS!$A$7:$O$112,COLUMN(N167)-2,FALSE),"")</f>
        <v>47.5</v>
      </c>
      <c r="O167" s="60" t="str">
        <f>IFERROR(VLOOKUP($D167,qboIS!$A$7:$O$112,COLUMN(O167)-2,FALSE),"")</f>
        <v/>
      </c>
      <c r="P167" s="60" t="str">
        <f>IFERROR(VLOOKUP($D167,qboIS!$A$7:$O$112,COLUMN(P167)-2,FALSE),"")</f>
        <v/>
      </c>
      <c r="Q167" s="60" t="str">
        <f>IFERROR(VLOOKUP($D167,qboIS!$A$7:$O$112,COLUMN(Q167)-2,FALSE),"")</f>
        <v/>
      </c>
      <c r="R167" s="60"/>
      <c r="S167" s="60">
        <f>IF(S$1&lt;=DataSettings!$B$3,SUM($E167:E167),"")</f>
        <v>0</v>
      </c>
      <c r="T167" s="60">
        <f>IF(T$1&lt;=DataSettings!$B$3,SUM($E167:F167),"")</f>
        <v>0</v>
      </c>
      <c r="U167" s="60">
        <f>IF(U$1&lt;=DataSettings!$B$3,SUM($E167:G167),"")</f>
        <v>0</v>
      </c>
      <c r="V167" s="60">
        <f>IF(V$1&lt;=DataSettings!$B$3,SUM($E167:H167),"")</f>
        <v>0</v>
      </c>
      <c r="W167" s="60">
        <f>IF(W$1&lt;=DataSettings!$B$3,SUM($E167:I167),"")</f>
        <v>0</v>
      </c>
      <c r="X167" s="60">
        <f>IF(X$1&lt;=DataSettings!$B$3,SUM($E167:J167),"")</f>
        <v>47.5</v>
      </c>
      <c r="Y167" s="60">
        <f>IF(Y$1&lt;=DataSettings!$B$3,SUM($E167:K167),"")</f>
        <v>47.5</v>
      </c>
      <c r="Z167" s="60">
        <f>IF(Z$1&lt;=DataSettings!$B$3,SUM($E167:L167),"")</f>
        <v>47.5</v>
      </c>
      <c r="AA167" s="60">
        <f>IF(AA$1&lt;=DataSettings!$B$3,SUM($E167:M167),"")</f>
        <v>47.5</v>
      </c>
      <c r="AB167" s="60" t="str">
        <f>IF(AB$1&lt;=DataSettings!$B$3,SUM($E167:N167),"")</f>
        <v/>
      </c>
      <c r="AC167" s="60" t="str">
        <f>IF(AC$1&lt;=DataSettings!$B$3,SUM($E167:O167),"")</f>
        <v/>
      </c>
      <c r="AD167" s="60" t="str">
        <f>IF(AD$1&lt;=DataSettings!$B$3,SUM($E167:P167),"")</f>
        <v/>
      </c>
      <c r="AE167" s="60" t="str">
        <f>IF(AE$1&lt;=DataSettings!$B$3,SUM($E167:Q167),"")</f>
        <v/>
      </c>
    </row>
    <row r="168" hidden="1">
      <c r="A168" s="41" t="s">
        <v>18</v>
      </c>
      <c r="B168" s="41" t="s">
        <v>35</v>
      </c>
      <c r="C168" s="41" t="s">
        <v>30</v>
      </c>
      <c r="D168" s="59" t="s">
        <v>128</v>
      </c>
      <c r="E168" s="60">
        <f>IFERROR(VLOOKUP($D168,qboIS!$A$7:$O$112,COLUMN(E168)-2,FALSE),"")</f>
        <v>201.98</v>
      </c>
      <c r="F168" s="60" t="str">
        <f>IFERROR(VLOOKUP($D168,qboIS!$A$7:$O$112,COLUMN(F168)-2,FALSE),"")</f>
        <v/>
      </c>
      <c r="G168" s="60" t="str">
        <f>IFERROR(VLOOKUP($D168,qboIS!$A$7:$O$112,COLUMN(G168)-2,FALSE),"")</f>
        <v/>
      </c>
      <c r="H168" s="60" t="str">
        <f>IFERROR(VLOOKUP($D168,qboIS!$A$7:$O$112,COLUMN(H168)-2,FALSE),"")</f>
        <v/>
      </c>
      <c r="I168" s="60" t="str">
        <f>IFERROR(VLOOKUP($D168,qboIS!$A$7:$O$112,COLUMN(I168)-2,FALSE),"")</f>
        <v/>
      </c>
      <c r="J168" s="60" t="str">
        <f>IFERROR(VLOOKUP($D168,qboIS!$A$7:$O$112,COLUMN(J168)-2,FALSE),"")</f>
        <v/>
      </c>
      <c r="K168" s="60" t="str">
        <f>IFERROR(VLOOKUP($D168,qboIS!$A$7:$O$112,COLUMN(K168)-2,FALSE),"")</f>
        <v/>
      </c>
      <c r="L168" s="60" t="str">
        <f>IFERROR(VLOOKUP($D168,qboIS!$A$7:$O$112,COLUMN(L168)-2,FALSE),"")</f>
        <v/>
      </c>
      <c r="M168" s="60" t="str">
        <f>IFERROR(VLOOKUP($D168,qboIS!$A$7:$O$112,COLUMN(M168)-2,FALSE),"")</f>
        <v/>
      </c>
      <c r="N168" s="60">
        <f>IFERROR(VLOOKUP($D168,qboIS!$A$7:$O$112,COLUMN(N168)-2,FALSE),"")</f>
        <v>201.98</v>
      </c>
      <c r="O168" s="60" t="str">
        <f>IFERROR(VLOOKUP($D168,qboIS!$A$7:$O$112,COLUMN(O168)-2,FALSE),"")</f>
        <v/>
      </c>
      <c r="P168" s="60" t="str">
        <f>IFERROR(VLOOKUP($D168,qboIS!$A$7:$O$112,COLUMN(P168)-2,FALSE),"")</f>
        <v/>
      </c>
      <c r="Q168" s="60" t="str">
        <f>IFERROR(VLOOKUP($D168,qboIS!$A$7:$O$112,COLUMN(Q168)-2,FALSE),"")</f>
        <v/>
      </c>
      <c r="R168" s="60"/>
      <c r="S168" s="60">
        <f>IF(S$1&lt;=DataSettings!$B$3,SUM($E168:E168),"")</f>
        <v>201.98</v>
      </c>
      <c r="T168" s="60">
        <f>IF(T$1&lt;=DataSettings!$B$3,SUM($E168:F168),"")</f>
        <v>201.98</v>
      </c>
      <c r="U168" s="60">
        <f>IF(U$1&lt;=DataSettings!$B$3,SUM($E168:G168),"")</f>
        <v>201.98</v>
      </c>
      <c r="V168" s="60">
        <f>IF(V$1&lt;=DataSettings!$B$3,SUM($E168:H168),"")</f>
        <v>201.98</v>
      </c>
      <c r="W168" s="60">
        <f>IF(W$1&lt;=DataSettings!$B$3,SUM($E168:I168),"")</f>
        <v>201.98</v>
      </c>
      <c r="X168" s="60">
        <f>IF(X$1&lt;=DataSettings!$B$3,SUM($E168:J168),"")</f>
        <v>201.98</v>
      </c>
      <c r="Y168" s="60">
        <f>IF(Y$1&lt;=DataSettings!$B$3,SUM($E168:K168),"")</f>
        <v>201.98</v>
      </c>
      <c r="Z168" s="60">
        <f>IF(Z$1&lt;=DataSettings!$B$3,SUM($E168:L168),"")</f>
        <v>201.98</v>
      </c>
      <c r="AA168" s="60">
        <f>IF(AA$1&lt;=DataSettings!$B$3,SUM($E168:M168),"")</f>
        <v>201.98</v>
      </c>
      <c r="AB168" s="60" t="str">
        <f>IF(AB$1&lt;=DataSettings!$B$3,SUM($E168:N168),"")</f>
        <v/>
      </c>
      <c r="AC168" s="60" t="str">
        <f>IF(AC$1&lt;=DataSettings!$B$3,SUM($E168:O168),"")</f>
        <v/>
      </c>
      <c r="AD168" s="60" t="str">
        <f>IF(AD$1&lt;=DataSettings!$B$3,SUM($E168:P168),"")</f>
        <v/>
      </c>
      <c r="AE168" s="60" t="str">
        <f>IF(AE$1&lt;=DataSettings!$B$3,SUM($E168:Q168),"")</f>
        <v/>
      </c>
    </row>
    <row r="169" hidden="1">
      <c r="A169" s="41" t="s">
        <v>18</v>
      </c>
      <c r="B169" s="41" t="s">
        <v>35</v>
      </c>
      <c r="C169" s="41" t="s">
        <v>30</v>
      </c>
      <c r="D169" s="59" t="s">
        <v>129</v>
      </c>
      <c r="E169" s="60">
        <f>IFERROR(VLOOKUP($D169,qboIS!$A$7:$O$112,COLUMN(E169)-2,FALSE),"")</f>
        <v>47.2</v>
      </c>
      <c r="F169" s="60">
        <f>IFERROR(VLOOKUP($D169,qboIS!$A$7:$O$112,COLUMN(F169)-2,FALSE),"")</f>
        <v>47.2</v>
      </c>
      <c r="G169" s="60">
        <f>IFERROR(VLOOKUP($D169,qboIS!$A$7:$O$112,COLUMN(G169)-2,FALSE),"")</f>
        <v>2365.2</v>
      </c>
      <c r="H169" s="60">
        <f>IFERROR(VLOOKUP($D169,qboIS!$A$7:$O$112,COLUMN(H169)-2,FALSE),"")</f>
        <v>47.2</v>
      </c>
      <c r="I169" s="60">
        <f>IFERROR(VLOOKUP($D169,qboIS!$A$7:$O$112,COLUMN(I169)-2,FALSE),"")</f>
        <v>47.2</v>
      </c>
      <c r="J169" s="60">
        <f>IFERROR(VLOOKUP($D169,qboIS!$A$7:$O$112,COLUMN(J169)-2,FALSE),"")</f>
        <v>47.2</v>
      </c>
      <c r="K169" s="60">
        <f>IFERROR(VLOOKUP($D169,qboIS!$A$7:$O$112,COLUMN(K169)-2,FALSE),"")</f>
        <v>47.2</v>
      </c>
      <c r="L169" s="60">
        <f>IFERROR(VLOOKUP($D169,qboIS!$A$7:$O$112,COLUMN(L169)-2,FALSE),"")</f>
        <v>47.2</v>
      </c>
      <c r="M169" s="60">
        <f>IFERROR(VLOOKUP($D169,qboIS!$A$7:$O$112,COLUMN(M169)-2,FALSE),"")</f>
        <v>47.2</v>
      </c>
      <c r="N169" s="60">
        <f>IFERROR(VLOOKUP($D169,qboIS!$A$7:$O$112,COLUMN(N169)-2,FALSE),"")</f>
        <v>2742.8</v>
      </c>
      <c r="O169" s="60" t="str">
        <f>IFERROR(VLOOKUP($D169,qboIS!$A$7:$O$112,COLUMN(O169)-2,FALSE),"")</f>
        <v/>
      </c>
      <c r="P169" s="60" t="str">
        <f>IFERROR(VLOOKUP($D169,qboIS!$A$7:$O$112,COLUMN(P169)-2,FALSE),"")</f>
        <v/>
      </c>
      <c r="Q169" s="60" t="str">
        <f>IFERROR(VLOOKUP($D169,qboIS!$A$7:$O$112,COLUMN(Q169)-2,FALSE),"")</f>
        <v/>
      </c>
      <c r="R169" s="60"/>
      <c r="S169" s="60">
        <f>IF(S$1&lt;=DataSettings!$B$3,SUM($E169:E169),"")</f>
        <v>47.2</v>
      </c>
      <c r="T169" s="60">
        <f>IF(T$1&lt;=DataSettings!$B$3,SUM($E169:F169),"")</f>
        <v>94.4</v>
      </c>
      <c r="U169" s="60">
        <f>IF(U$1&lt;=DataSettings!$B$3,SUM($E169:G169),"")</f>
        <v>2459.6</v>
      </c>
      <c r="V169" s="60">
        <f>IF(V$1&lt;=DataSettings!$B$3,SUM($E169:H169),"")</f>
        <v>2506.8</v>
      </c>
      <c r="W169" s="60">
        <f>IF(W$1&lt;=DataSettings!$B$3,SUM($E169:I169),"")</f>
        <v>2554</v>
      </c>
      <c r="X169" s="60">
        <f>IF(X$1&lt;=DataSettings!$B$3,SUM($E169:J169),"")</f>
        <v>2601.2</v>
      </c>
      <c r="Y169" s="60">
        <f>IF(Y$1&lt;=DataSettings!$B$3,SUM($E169:K169),"")</f>
        <v>2648.4</v>
      </c>
      <c r="Z169" s="60">
        <f>IF(Z$1&lt;=DataSettings!$B$3,SUM($E169:L169),"")</f>
        <v>2695.6</v>
      </c>
      <c r="AA169" s="60">
        <f>IF(AA$1&lt;=DataSettings!$B$3,SUM($E169:M169),"")</f>
        <v>2742.8</v>
      </c>
      <c r="AB169" s="60" t="str">
        <f>IF(AB$1&lt;=DataSettings!$B$3,SUM($E169:N169),"")</f>
        <v/>
      </c>
      <c r="AC169" s="60" t="str">
        <f>IF(AC$1&lt;=DataSettings!$B$3,SUM($E169:O169),"")</f>
        <v/>
      </c>
      <c r="AD169" s="60" t="str">
        <f>IF(AD$1&lt;=DataSettings!$B$3,SUM($E169:P169),"")</f>
        <v/>
      </c>
      <c r="AE169" s="60" t="str">
        <f>IF(AE$1&lt;=DataSettings!$B$3,SUM($E169:Q169),"")</f>
        <v/>
      </c>
    </row>
    <row r="170" hidden="1">
      <c r="A170" s="41" t="s">
        <v>18</v>
      </c>
      <c r="B170" s="41" t="s">
        <v>35</v>
      </c>
      <c r="C170" s="41" t="s">
        <v>31</v>
      </c>
      <c r="D170" s="59" t="s">
        <v>130</v>
      </c>
      <c r="E170" s="60">
        <f>IFERROR(VLOOKUP($D170,qboIS!$A$7:$O$112,COLUMN(E170)-2,FALSE),"")</f>
        <v>3750</v>
      </c>
      <c r="F170" s="60" t="str">
        <f>IFERROR(VLOOKUP($D170,qboIS!$A$7:$O$112,COLUMN(F170)-2,FALSE),"")</f>
        <v/>
      </c>
      <c r="G170" s="60" t="str">
        <f>IFERROR(VLOOKUP($D170,qboIS!$A$7:$O$112,COLUMN(G170)-2,FALSE),"")</f>
        <v/>
      </c>
      <c r="H170" s="60" t="str">
        <f>IFERROR(VLOOKUP($D170,qboIS!$A$7:$O$112,COLUMN(H170)-2,FALSE),"")</f>
        <v/>
      </c>
      <c r="I170" s="60" t="str">
        <f>IFERROR(VLOOKUP($D170,qboIS!$A$7:$O$112,COLUMN(I170)-2,FALSE),"")</f>
        <v/>
      </c>
      <c r="J170" s="60" t="str">
        <f>IFERROR(VLOOKUP($D170,qboIS!$A$7:$O$112,COLUMN(J170)-2,FALSE),"")</f>
        <v/>
      </c>
      <c r="K170" s="60" t="str">
        <f>IFERROR(VLOOKUP($D170,qboIS!$A$7:$O$112,COLUMN(K170)-2,FALSE),"")</f>
        <v/>
      </c>
      <c r="L170" s="60" t="str">
        <f>IFERROR(VLOOKUP($D170,qboIS!$A$7:$O$112,COLUMN(L170)-2,FALSE),"")</f>
        <v/>
      </c>
      <c r="M170" s="60" t="str">
        <f>IFERROR(VLOOKUP($D170,qboIS!$A$7:$O$112,COLUMN(M170)-2,FALSE),"")</f>
        <v/>
      </c>
      <c r="N170" s="60">
        <f>IFERROR(VLOOKUP($D170,qboIS!$A$7:$O$112,COLUMN(N170)-2,FALSE),"")</f>
        <v>3750</v>
      </c>
      <c r="O170" s="60" t="str">
        <f>IFERROR(VLOOKUP($D170,qboIS!$A$7:$O$112,COLUMN(O170)-2,FALSE),"")</f>
        <v/>
      </c>
      <c r="P170" s="60" t="str">
        <f>IFERROR(VLOOKUP($D170,qboIS!$A$7:$O$112,COLUMN(P170)-2,FALSE),"")</f>
        <v/>
      </c>
      <c r="Q170" s="60" t="str">
        <f>IFERROR(VLOOKUP($D170,qboIS!$A$7:$O$112,COLUMN(Q170)-2,FALSE),"")</f>
        <v/>
      </c>
      <c r="R170" s="60"/>
      <c r="S170" s="60">
        <f>IF(S$1&lt;=DataSettings!$B$3,SUM($E170:E170),"")</f>
        <v>3750</v>
      </c>
      <c r="T170" s="60">
        <f>IF(T$1&lt;=DataSettings!$B$3,SUM($E170:F170),"")</f>
        <v>3750</v>
      </c>
      <c r="U170" s="60">
        <f>IF(U$1&lt;=DataSettings!$B$3,SUM($E170:G170),"")</f>
        <v>3750</v>
      </c>
      <c r="V170" s="60">
        <f>IF(V$1&lt;=DataSettings!$B$3,SUM($E170:H170),"")</f>
        <v>3750</v>
      </c>
      <c r="W170" s="60">
        <f>IF(W$1&lt;=DataSettings!$B$3,SUM($E170:I170),"")</f>
        <v>3750</v>
      </c>
      <c r="X170" s="60">
        <f>IF(X$1&lt;=DataSettings!$B$3,SUM($E170:J170),"")</f>
        <v>3750</v>
      </c>
      <c r="Y170" s="60">
        <f>IF(Y$1&lt;=DataSettings!$B$3,SUM($E170:K170),"")</f>
        <v>3750</v>
      </c>
      <c r="Z170" s="60">
        <f>IF(Z$1&lt;=DataSettings!$B$3,SUM($E170:L170),"")</f>
        <v>3750</v>
      </c>
      <c r="AA170" s="60">
        <f>IF(AA$1&lt;=DataSettings!$B$3,SUM($E170:M170),"")</f>
        <v>3750</v>
      </c>
      <c r="AB170" s="60" t="str">
        <f>IF(AB$1&lt;=DataSettings!$B$3,SUM($E170:N170),"")</f>
        <v/>
      </c>
      <c r="AC170" s="60" t="str">
        <f>IF(AC$1&lt;=DataSettings!$B$3,SUM($E170:O170),"")</f>
        <v/>
      </c>
      <c r="AD170" s="60" t="str">
        <f>IF(AD$1&lt;=DataSettings!$B$3,SUM($E170:P170),"")</f>
        <v/>
      </c>
      <c r="AE170" s="60" t="str">
        <f>IF(AE$1&lt;=DataSettings!$B$3,SUM($E170:Q170),"")</f>
        <v/>
      </c>
    </row>
    <row r="171" hidden="1">
      <c r="A171" s="41" t="s">
        <v>18</v>
      </c>
      <c r="B171" s="41" t="s">
        <v>35</v>
      </c>
      <c r="C171" s="41" t="s">
        <v>28</v>
      </c>
      <c r="D171" s="41" t="s">
        <v>132</v>
      </c>
      <c r="E171" s="60" t="str">
        <f>IFERROR(VLOOKUP($D171,qboIS!$A$7:$O$112,COLUMN(E171)-2,FALSE),"")</f>
        <v/>
      </c>
      <c r="F171" s="60" t="str">
        <f>IFERROR(VLOOKUP($D171,qboIS!$A$7:$O$112,COLUMN(F171)-2,FALSE),"")</f>
        <v/>
      </c>
      <c r="G171" s="60" t="str">
        <f>IFERROR(VLOOKUP($D171,qboIS!$A$7:$O$112,COLUMN(G171)-2,FALSE),"")</f>
        <v/>
      </c>
      <c r="H171" s="60" t="str">
        <f>IFERROR(VLOOKUP($D171,qboIS!$A$7:$O$112,COLUMN(H171)-2,FALSE),"")</f>
        <v/>
      </c>
      <c r="I171" s="60" t="str">
        <f>IFERROR(VLOOKUP($D171,qboIS!$A$7:$O$112,COLUMN(I171)-2,FALSE),"")</f>
        <v/>
      </c>
      <c r="J171" s="60" t="str">
        <f>IFERROR(VLOOKUP($D171,qboIS!$A$7:$O$112,COLUMN(J171)-2,FALSE),"")</f>
        <v/>
      </c>
      <c r="K171" s="60">
        <f>IFERROR(VLOOKUP($D171,qboIS!$A$7:$O$112,COLUMN(K171)-2,FALSE),"")</f>
        <v>4604.83</v>
      </c>
      <c r="L171" s="60">
        <f>IFERROR(VLOOKUP($D171,qboIS!$A$7:$O$112,COLUMN(L171)-2,FALSE),"")</f>
        <v>3029.43</v>
      </c>
      <c r="M171" s="60" t="str">
        <f>IFERROR(VLOOKUP($D171,qboIS!$A$7:$O$112,COLUMN(M171)-2,FALSE),"")</f>
        <v/>
      </c>
      <c r="N171" s="60">
        <f>IFERROR(VLOOKUP($D171,qboIS!$A$7:$O$112,COLUMN(N171)-2,FALSE),"")</f>
        <v>7634.26</v>
      </c>
      <c r="O171" s="60" t="str">
        <f>IFERROR(VLOOKUP($D171,qboIS!$A$7:$O$112,COLUMN(O171)-2,FALSE),"")</f>
        <v/>
      </c>
      <c r="P171" s="60" t="str">
        <f>IFERROR(VLOOKUP($D171,qboIS!$A$7:$O$112,COLUMN(P171)-2,FALSE),"")</f>
        <v/>
      </c>
      <c r="Q171" s="60" t="str">
        <f>IFERROR(VLOOKUP($D171,qboIS!$A$7:$O$112,COLUMN(Q171)-2,FALSE),"")</f>
        <v/>
      </c>
      <c r="R171" s="60"/>
      <c r="S171" s="60">
        <f>IF(S$1&lt;=DataSettings!$B$3,SUM($E171:E171),"")</f>
        <v>0</v>
      </c>
      <c r="T171" s="60">
        <f>IF(T$1&lt;=DataSettings!$B$3,SUM($E171:F171),"")</f>
        <v>0</v>
      </c>
      <c r="U171" s="60">
        <f>IF(U$1&lt;=DataSettings!$B$3,SUM($E171:G171),"")</f>
        <v>0</v>
      </c>
      <c r="V171" s="60">
        <f>IF(V$1&lt;=DataSettings!$B$3,SUM($E171:H171),"")</f>
        <v>0</v>
      </c>
      <c r="W171" s="60">
        <f>IF(W$1&lt;=DataSettings!$B$3,SUM($E171:I171),"")</f>
        <v>0</v>
      </c>
      <c r="X171" s="60">
        <f>IF(X$1&lt;=DataSettings!$B$3,SUM($E171:J171),"")</f>
        <v>0</v>
      </c>
      <c r="Y171" s="60">
        <f>IF(Y$1&lt;=DataSettings!$B$3,SUM($E171:K171),"")</f>
        <v>4604.83</v>
      </c>
      <c r="Z171" s="60">
        <f>IF(Z$1&lt;=DataSettings!$B$3,SUM($E171:L171),"")</f>
        <v>7634.26</v>
      </c>
      <c r="AA171" s="60">
        <f>IF(AA$1&lt;=DataSettings!$B$3,SUM($E171:M171),"")</f>
        <v>7634.26</v>
      </c>
      <c r="AB171" s="60" t="str">
        <f>IF(AB$1&lt;=DataSettings!$B$3,SUM($E171:N171),"")</f>
        <v/>
      </c>
      <c r="AC171" s="60" t="str">
        <f>IF(AC$1&lt;=DataSettings!$B$3,SUM($E171:O171),"")</f>
        <v/>
      </c>
      <c r="AD171" s="60" t="str">
        <f>IF(AD$1&lt;=DataSettings!$B$3,SUM($E171:P171),"")</f>
        <v/>
      </c>
      <c r="AE171" s="60" t="str">
        <f>IF(AE$1&lt;=DataSettings!$B$3,SUM($E171:Q171),"")</f>
        <v/>
      </c>
    </row>
    <row r="172" hidden="1">
      <c r="A172" s="41" t="s">
        <v>18</v>
      </c>
      <c r="B172" s="41" t="s">
        <v>35</v>
      </c>
      <c r="C172" s="41" t="s">
        <v>30</v>
      </c>
      <c r="D172" s="61" t="s">
        <v>133</v>
      </c>
      <c r="E172" s="60" t="str">
        <f>IFERROR(VLOOKUP($D172,qboIS!$A$7:$O$112,COLUMN(E172)-2,FALSE),"")</f>
        <v/>
      </c>
      <c r="F172" s="60" t="str">
        <f>IFERROR(VLOOKUP($D172,qboIS!$A$7:$O$112,COLUMN(F172)-2,FALSE),"")</f>
        <v/>
      </c>
      <c r="G172" s="60" t="str">
        <f>IFERROR(VLOOKUP($D172,qboIS!$A$7:$O$112,COLUMN(G172)-2,FALSE),"")</f>
        <v/>
      </c>
      <c r="H172" s="60" t="str">
        <f>IFERROR(VLOOKUP($D172,qboIS!$A$7:$O$112,COLUMN(H172)-2,FALSE),"")</f>
        <v/>
      </c>
      <c r="I172" s="60" t="str">
        <f>IFERROR(VLOOKUP($D172,qboIS!$A$7:$O$112,COLUMN(I172)-2,FALSE),"")</f>
        <v/>
      </c>
      <c r="J172" s="60" t="str">
        <f>IFERROR(VLOOKUP($D172,qboIS!$A$7:$O$112,COLUMN(J172)-2,FALSE),"")</f>
        <v/>
      </c>
      <c r="K172" s="60" t="str">
        <f>IFERROR(VLOOKUP($D172,qboIS!$A$7:$O$112,COLUMN(K172)-2,FALSE),"")</f>
        <v/>
      </c>
      <c r="L172" s="60" t="str">
        <f>IFERROR(VLOOKUP($D172,qboIS!$A$7:$O$112,COLUMN(L172)-2,FALSE),"")</f>
        <v/>
      </c>
      <c r="M172" s="60" t="str">
        <f>IFERROR(VLOOKUP($D172,qboIS!$A$7:$O$112,COLUMN(M172)-2,FALSE),"")</f>
        <v/>
      </c>
      <c r="N172" s="60" t="str">
        <f>IFERROR(VLOOKUP($D172,qboIS!$A$7:$O$112,COLUMN(N172)-2,FALSE),"")</f>
        <v/>
      </c>
      <c r="O172" s="60" t="str">
        <f>IFERROR(VLOOKUP($D172,qboIS!$A$7:$O$112,COLUMN(O172)-2,FALSE),"")</f>
        <v/>
      </c>
      <c r="P172" s="60" t="str">
        <f>IFERROR(VLOOKUP($D172,qboIS!$A$7:$O$112,COLUMN(P172)-2,FALSE),"")</f>
        <v/>
      </c>
      <c r="Q172" s="60" t="str">
        <f>IFERROR(VLOOKUP($D172,qboIS!$A$7:$O$112,COLUMN(Q172)-2,FALSE),"")</f>
        <v/>
      </c>
      <c r="R172" s="60"/>
      <c r="S172" s="60">
        <f>IF(S$1&lt;=DataSettings!$B$3,SUM($E172:E172),"")</f>
        <v>0</v>
      </c>
      <c r="T172" s="60">
        <f>IF(T$1&lt;=DataSettings!$B$3,SUM($E172:F172),"")</f>
        <v>0</v>
      </c>
      <c r="U172" s="60">
        <f>IF(U$1&lt;=DataSettings!$B$3,SUM($E172:G172),"")</f>
        <v>0</v>
      </c>
      <c r="V172" s="60">
        <f>IF(V$1&lt;=DataSettings!$B$3,SUM($E172:H172),"")</f>
        <v>0</v>
      </c>
      <c r="W172" s="60">
        <f>IF(W$1&lt;=DataSettings!$B$3,SUM($E172:I172),"")</f>
        <v>0</v>
      </c>
      <c r="X172" s="60">
        <f>IF(X$1&lt;=DataSettings!$B$3,SUM($E172:J172),"")</f>
        <v>0</v>
      </c>
      <c r="Y172" s="60">
        <f>IF(Y$1&lt;=DataSettings!$B$3,SUM($E172:K172),"")</f>
        <v>0</v>
      </c>
      <c r="Z172" s="60">
        <f>IF(Z$1&lt;=DataSettings!$B$3,SUM($E172:L172),"")</f>
        <v>0</v>
      </c>
      <c r="AA172" s="60">
        <f>IF(AA$1&lt;=DataSettings!$B$3,SUM($E172:M172),"")</f>
        <v>0</v>
      </c>
      <c r="AB172" s="60" t="str">
        <f>IF(AB$1&lt;=DataSettings!$B$3,SUM($E172:N172),"")</f>
        <v/>
      </c>
      <c r="AC172" s="60" t="str">
        <f>IF(AC$1&lt;=DataSettings!$B$3,SUM($E172:O172),"")</f>
        <v/>
      </c>
      <c r="AD172" s="60" t="str">
        <f>IF(AD$1&lt;=DataSettings!$B$3,SUM($E172:P172),"")</f>
        <v/>
      </c>
      <c r="AE172" s="60" t="str">
        <f>IF(AE$1&lt;=DataSettings!$B$3,SUM($E172:Q172),"")</f>
        <v/>
      </c>
    </row>
    <row r="173"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48"/>
    </row>
    <row r="174"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48"/>
    </row>
    <row r="175"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48"/>
    </row>
    <row r="176"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48"/>
    </row>
    <row r="177"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48"/>
    </row>
    <row r="178"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48"/>
    </row>
    <row r="179"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48"/>
    </row>
    <row r="180"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48"/>
    </row>
    <row r="181"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48"/>
    </row>
    <row r="182"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48"/>
    </row>
    <row r="183"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48"/>
    </row>
    <row r="184"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48"/>
    </row>
    <row r="185"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48"/>
    </row>
    <row r="186"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48"/>
    </row>
    <row r="187"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48"/>
    </row>
    <row r="188"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48"/>
    </row>
    <row r="189"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48"/>
    </row>
    <row r="190"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48"/>
    </row>
    <row r="191"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48"/>
    </row>
    <row r="192"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48"/>
    </row>
    <row r="193"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48"/>
    </row>
    <row r="194"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48"/>
    </row>
    <row r="195"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48"/>
    </row>
    <row r="196"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48"/>
    </row>
    <row r="197"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48"/>
    </row>
    <row r="198"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48"/>
    </row>
    <row r="199"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48"/>
    </row>
    <row r="200"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48"/>
    </row>
    <row r="201"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48"/>
    </row>
    <row r="202"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48"/>
    </row>
    <row r="203"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48"/>
    </row>
    <row r="204"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48"/>
    </row>
    <row r="205"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48"/>
    </row>
    <row r="206"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48"/>
    </row>
    <row r="207"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48"/>
    </row>
    <row r="208"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48"/>
    </row>
    <row r="209"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48"/>
    </row>
    <row r="210"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48"/>
    </row>
    <row r="211"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48"/>
    </row>
    <row r="212"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48"/>
    </row>
    <row r="213"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48"/>
    </row>
    <row r="214"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48"/>
    </row>
    <row r="215"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48"/>
    </row>
    <row r="216"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48"/>
    </row>
    <row r="217"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48"/>
    </row>
    <row r="218"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48"/>
    </row>
    <row r="219"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48"/>
    </row>
    <row r="220"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48"/>
    </row>
    <row r="221"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48"/>
    </row>
    <row r="222"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48"/>
    </row>
    <row r="223"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48"/>
    </row>
    <row r="224"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48"/>
    </row>
    <row r="225"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48"/>
    </row>
    <row r="226"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48"/>
    </row>
    <row r="227"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48"/>
    </row>
    <row r="228"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48"/>
    </row>
    <row r="229"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48"/>
    </row>
    <row r="230"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48"/>
    </row>
    <row r="231"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48"/>
    </row>
    <row r="232"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48"/>
    </row>
    <row r="233"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48"/>
    </row>
    <row r="234"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48"/>
    </row>
    <row r="235"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48"/>
    </row>
    <row r="236"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48"/>
    </row>
    <row r="237"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48"/>
    </row>
    <row r="238"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48"/>
    </row>
    <row r="239"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48"/>
    </row>
    <row r="240"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48"/>
    </row>
    <row r="241"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48"/>
    </row>
    <row r="242"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48"/>
    </row>
    <row r="243"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48"/>
    </row>
    <row r="244"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48"/>
    </row>
    <row r="245"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48"/>
    </row>
    <row r="246"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48"/>
    </row>
    <row r="247"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48"/>
    </row>
    <row r="248"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48"/>
    </row>
    <row r="249"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48"/>
    </row>
    <row r="250"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48"/>
    </row>
    <row r="251"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48"/>
    </row>
    <row r="252"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48"/>
    </row>
    <row r="253"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48"/>
    </row>
    <row r="254"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48"/>
    </row>
    <row r="255"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48"/>
    </row>
    <row r="256"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48"/>
    </row>
    <row r="257"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48"/>
    </row>
    <row r="258"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48"/>
    </row>
    <row r="259"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48"/>
    </row>
    <row r="260"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48"/>
    </row>
    <row r="261"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48"/>
    </row>
    <row r="262"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48"/>
    </row>
    <row r="263"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48"/>
    </row>
    <row r="264"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48"/>
    </row>
    <row r="265"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48"/>
    </row>
    <row r="266"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48"/>
    </row>
    <row r="267"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48"/>
    </row>
    <row r="268"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48"/>
    </row>
    <row r="269"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48"/>
    </row>
    <row r="270"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48"/>
    </row>
    <row r="271"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48"/>
    </row>
    <row r="272"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48"/>
    </row>
    <row r="273"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48"/>
    </row>
    <row r="274"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48"/>
    </row>
    <row r="275"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48"/>
    </row>
    <row r="276"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48"/>
    </row>
    <row r="277"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48"/>
    </row>
    <row r="278"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48"/>
    </row>
    <row r="279"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48"/>
    </row>
    <row r="280"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48"/>
    </row>
    <row r="281"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48"/>
    </row>
    <row r="282"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48"/>
    </row>
    <row r="283"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48"/>
    </row>
    <row r="284"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48"/>
    </row>
    <row r="285"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48"/>
    </row>
    <row r="286"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48"/>
    </row>
    <row r="287"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48"/>
    </row>
    <row r="288"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48"/>
    </row>
    <row r="289"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48"/>
    </row>
    <row r="290"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48"/>
    </row>
    <row r="291"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48"/>
    </row>
    <row r="292"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48"/>
    </row>
    <row r="293"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48"/>
    </row>
    <row r="294"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48"/>
    </row>
    <row r="295"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48"/>
    </row>
    <row r="296"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48"/>
    </row>
    <row r="297"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48"/>
    </row>
    <row r="298"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48"/>
    </row>
    <row r="299"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48"/>
    </row>
    <row r="300"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48"/>
    </row>
    <row r="301"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48"/>
    </row>
    <row r="302"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48"/>
    </row>
    <row r="303"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48"/>
    </row>
    <row r="304"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48"/>
    </row>
    <row r="305"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48"/>
    </row>
    <row r="306"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48"/>
    </row>
    <row r="307"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48"/>
    </row>
    <row r="308"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48"/>
    </row>
    <row r="309"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48"/>
    </row>
    <row r="310"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48"/>
    </row>
    <row r="311"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48"/>
    </row>
    <row r="312"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48"/>
    </row>
    <row r="313"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48"/>
    </row>
    <row r="314"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48"/>
    </row>
    <row r="315"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48"/>
    </row>
    <row r="316"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48"/>
    </row>
    <row r="317"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48"/>
    </row>
    <row r="318"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48"/>
    </row>
    <row r="319"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48"/>
    </row>
    <row r="320"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48"/>
    </row>
    <row r="321"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48"/>
    </row>
    <row r="322"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48"/>
    </row>
    <row r="323"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48"/>
    </row>
    <row r="324"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48"/>
    </row>
    <row r="325"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48"/>
    </row>
    <row r="326"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48"/>
    </row>
    <row r="327"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48"/>
    </row>
    <row r="328"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48"/>
    </row>
    <row r="329"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48"/>
    </row>
    <row r="330"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48"/>
    </row>
    <row r="331"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48"/>
    </row>
    <row r="332"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48"/>
    </row>
    <row r="333"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48"/>
    </row>
    <row r="334"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48"/>
    </row>
    <row r="335"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48"/>
    </row>
    <row r="336"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48"/>
    </row>
    <row r="337"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48"/>
    </row>
    <row r="338"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48"/>
    </row>
    <row r="339"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48"/>
    </row>
    <row r="340"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48"/>
    </row>
    <row r="341"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48"/>
    </row>
    <row r="342"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48"/>
    </row>
    <row r="343"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48"/>
    </row>
    <row r="344"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48"/>
    </row>
    <row r="345"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48"/>
    </row>
    <row r="346"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48"/>
    </row>
    <row r="347"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48"/>
    </row>
    <row r="348"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48"/>
    </row>
    <row r="349"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48"/>
    </row>
    <row r="350"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48"/>
    </row>
    <row r="351"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48"/>
    </row>
    <row r="352"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48"/>
    </row>
    <row r="353"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48"/>
    </row>
    <row r="354"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48"/>
    </row>
    <row r="355"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48"/>
    </row>
    <row r="356"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48"/>
    </row>
    <row r="357"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48"/>
    </row>
    <row r="358"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48"/>
    </row>
    <row r="359"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48"/>
    </row>
    <row r="360"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48"/>
    </row>
    <row r="361"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48"/>
    </row>
    <row r="362"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48"/>
    </row>
    <row r="363"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48"/>
    </row>
    <row r="364"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48"/>
    </row>
    <row r="365"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48"/>
    </row>
    <row r="366"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48"/>
    </row>
    <row r="367"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48"/>
    </row>
    <row r="368"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48"/>
    </row>
    <row r="369"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48"/>
    </row>
    <row r="370"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48"/>
    </row>
    <row r="371"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48"/>
    </row>
    <row r="372"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48"/>
    </row>
    <row r="373"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48"/>
    </row>
    <row r="374"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48"/>
    </row>
    <row r="375"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48"/>
    </row>
    <row r="376"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48"/>
    </row>
    <row r="377"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48"/>
    </row>
    <row r="378"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48"/>
    </row>
    <row r="379"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48"/>
    </row>
    <row r="380"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48"/>
    </row>
    <row r="381"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48"/>
    </row>
    <row r="382"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48"/>
    </row>
    <row r="383"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48"/>
    </row>
    <row r="384"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48"/>
    </row>
    <row r="385"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48"/>
    </row>
    <row r="386"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48"/>
    </row>
    <row r="387"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48"/>
    </row>
    <row r="388"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48"/>
    </row>
    <row r="389"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48"/>
    </row>
    <row r="390"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48"/>
    </row>
    <row r="391"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48"/>
    </row>
    <row r="392"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48"/>
    </row>
    <row r="393"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48"/>
    </row>
    <row r="394"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48"/>
    </row>
    <row r="395"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48"/>
    </row>
    <row r="396"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48"/>
    </row>
    <row r="397"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48"/>
    </row>
    <row r="398"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48"/>
    </row>
    <row r="399"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48"/>
    </row>
    <row r="400"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48"/>
    </row>
    <row r="401"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48"/>
    </row>
    <row r="402"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48"/>
    </row>
    <row r="403"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48"/>
    </row>
    <row r="404"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48"/>
    </row>
    <row r="405"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48"/>
    </row>
    <row r="406"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48"/>
    </row>
    <row r="407"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48"/>
    </row>
    <row r="408"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48"/>
    </row>
    <row r="409"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48"/>
    </row>
    <row r="410"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48"/>
    </row>
    <row r="411"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48"/>
    </row>
    <row r="412"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48"/>
    </row>
    <row r="413"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48"/>
    </row>
    <row r="414"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48"/>
    </row>
    <row r="415"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48"/>
    </row>
    <row r="416"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48"/>
    </row>
    <row r="417"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48"/>
    </row>
    <row r="418"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48"/>
    </row>
    <row r="419"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48"/>
    </row>
    <row r="420"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48"/>
    </row>
    <row r="421"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48"/>
    </row>
    <row r="422"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48"/>
    </row>
    <row r="423"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48"/>
    </row>
    <row r="424"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48"/>
    </row>
    <row r="425"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48"/>
    </row>
    <row r="426"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48"/>
    </row>
    <row r="427"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48"/>
    </row>
    <row r="428"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48"/>
    </row>
    <row r="429"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48"/>
    </row>
    <row r="430"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48"/>
    </row>
    <row r="431"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48"/>
    </row>
    <row r="432"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48"/>
    </row>
    <row r="433"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48"/>
    </row>
    <row r="434"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48"/>
    </row>
    <row r="435"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48"/>
    </row>
    <row r="436"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48"/>
    </row>
    <row r="437"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48"/>
    </row>
    <row r="438"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48"/>
    </row>
    <row r="439"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48"/>
    </row>
    <row r="440"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48"/>
    </row>
    <row r="441"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48"/>
    </row>
    <row r="442"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48"/>
    </row>
    <row r="443"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48"/>
    </row>
    <row r="444"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48"/>
    </row>
    <row r="445"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48"/>
    </row>
    <row r="446"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48"/>
    </row>
    <row r="447"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48"/>
    </row>
    <row r="448"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48"/>
    </row>
    <row r="449"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48"/>
    </row>
    <row r="450"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48"/>
    </row>
    <row r="451"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48"/>
    </row>
    <row r="452"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48"/>
    </row>
    <row r="453"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48"/>
    </row>
    <row r="454"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48"/>
    </row>
    <row r="455"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48"/>
    </row>
    <row r="456"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48"/>
    </row>
    <row r="457"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48"/>
    </row>
    <row r="458"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48"/>
    </row>
    <row r="459"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48"/>
    </row>
    <row r="460"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48"/>
    </row>
    <row r="461"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48"/>
    </row>
    <row r="462"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48"/>
    </row>
    <row r="463"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48"/>
    </row>
    <row r="464"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48"/>
    </row>
    <row r="465"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48"/>
    </row>
    <row r="466"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48"/>
    </row>
    <row r="467"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48"/>
    </row>
    <row r="468"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48"/>
    </row>
    <row r="469"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48"/>
    </row>
    <row r="470"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48"/>
    </row>
    <row r="471"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48"/>
    </row>
    <row r="472"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48"/>
    </row>
    <row r="473"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48"/>
    </row>
    <row r="474"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48"/>
    </row>
    <row r="475"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48"/>
    </row>
    <row r="476"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48"/>
    </row>
    <row r="477"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48"/>
    </row>
    <row r="478"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48"/>
    </row>
    <row r="479"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48"/>
    </row>
    <row r="480"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48"/>
    </row>
    <row r="481"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48"/>
    </row>
    <row r="482"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48"/>
    </row>
    <row r="483"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48"/>
    </row>
    <row r="484"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48"/>
    </row>
    <row r="485"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48"/>
    </row>
    <row r="486"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48"/>
    </row>
    <row r="487"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48"/>
    </row>
    <row r="488"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48"/>
    </row>
    <row r="489"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48"/>
    </row>
    <row r="490"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48"/>
    </row>
    <row r="491"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48"/>
    </row>
    <row r="492"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48"/>
    </row>
    <row r="493"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48"/>
    </row>
    <row r="494"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48"/>
    </row>
    <row r="495"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48"/>
    </row>
    <row r="496"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48"/>
    </row>
    <row r="497"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48"/>
    </row>
    <row r="498"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48"/>
    </row>
    <row r="499"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48"/>
    </row>
    <row r="500"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48"/>
    </row>
    <row r="501"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48"/>
    </row>
    <row r="502"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48"/>
    </row>
    <row r="503"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48"/>
    </row>
    <row r="504"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48"/>
    </row>
    <row r="505"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48"/>
    </row>
    <row r="506"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48"/>
    </row>
    <row r="507"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48"/>
    </row>
    <row r="508"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48"/>
    </row>
    <row r="509"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48"/>
    </row>
    <row r="510"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48"/>
    </row>
    <row r="511"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48"/>
    </row>
    <row r="512"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48"/>
    </row>
    <row r="513"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48"/>
    </row>
    <row r="514"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48"/>
    </row>
    <row r="515"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48"/>
    </row>
    <row r="516"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48"/>
    </row>
    <row r="517"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48"/>
    </row>
    <row r="518"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48"/>
    </row>
    <row r="519"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48"/>
    </row>
    <row r="520"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48"/>
    </row>
    <row r="521"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48"/>
    </row>
    <row r="522"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48"/>
    </row>
    <row r="523"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48"/>
    </row>
    <row r="524"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48"/>
    </row>
    <row r="525"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48"/>
    </row>
    <row r="526"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48"/>
    </row>
    <row r="527"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48"/>
    </row>
    <row r="528"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48"/>
    </row>
    <row r="529"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48"/>
    </row>
    <row r="530"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48"/>
    </row>
    <row r="531"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48"/>
    </row>
    <row r="532"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48"/>
    </row>
    <row r="533"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48"/>
    </row>
    <row r="534"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48"/>
    </row>
    <row r="535"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48"/>
    </row>
    <row r="536"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48"/>
    </row>
    <row r="537"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48"/>
    </row>
    <row r="538"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48"/>
    </row>
    <row r="539"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48"/>
    </row>
    <row r="540"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48"/>
    </row>
    <row r="541"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48"/>
    </row>
    <row r="542"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48"/>
    </row>
    <row r="543"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48"/>
    </row>
    <row r="544"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48"/>
    </row>
    <row r="545"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48"/>
    </row>
    <row r="546"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48"/>
    </row>
    <row r="547"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48"/>
    </row>
    <row r="548"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48"/>
    </row>
    <row r="549"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48"/>
    </row>
    <row r="550"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48"/>
    </row>
    <row r="551"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48"/>
    </row>
    <row r="552"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48"/>
    </row>
    <row r="553"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48"/>
    </row>
    <row r="554"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48"/>
    </row>
    <row r="555"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48"/>
    </row>
    <row r="556"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48"/>
    </row>
    <row r="557"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48"/>
    </row>
    <row r="558"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48"/>
    </row>
    <row r="559"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48"/>
    </row>
    <row r="560"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48"/>
    </row>
    <row r="561"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48"/>
    </row>
    <row r="562"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48"/>
    </row>
    <row r="563"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48"/>
    </row>
    <row r="564"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48"/>
    </row>
    <row r="565"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48"/>
    </row>
    <row r="566"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48"/>
    </row>
    <row r="567"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48"/>
    </row>
    <row r="568"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48"/>
    </row>
    <row r="569"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48"/>
    </row>
    <row r="570"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48"/>
    </row>
    <row r="571"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48"/>
    </row>
    <row r="572"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48"/>
    </row>
    <row r="573"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48"/>
    </row>
    <row r="574"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48"/>
    </row>
    <row r="575"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48"/>
    </row>
    <row r="576"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48"/>
    </row>
    <row r="577"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48"/>
    </row>
    <row r="578"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48"/>
    </row>
    <row r="579"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48"/>
    </row>
    <row r="580"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48"/>
    </row>
    <row r="581"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48"/>
    </row>
    <row r="582"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48"/>
    </row>
    <row r="583"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48"/>
    </row>
    <row r="584"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48"/>
    </row>
    <row r="585"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48"/>
    </row>
    <row r="586"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48"/>
    </row>
    <row r="587"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48"/>
    </row>
    <row r="588"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48"/>
    </row>
    <row r="589"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48"/>
    </row>
    <row r="590"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48"/>
    </row>
    <row r="591"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48"/>
    </row>
    <row r="592"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48"/>
    </row>
    <row r="593"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48"/>
    </row>
    <row r="594"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48"/>
    </row>
    <row r="595"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48"/>
    </row>
    <row r="596"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48"/>
    </row>
    <row r="597"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48"/>
    </row>
    <row r="598"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48"/>
    </row>
    <row r="599"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48"/>
    </row>
    <row r="600"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48"/>
    </row>
    <row r="601"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48"/>
    </row>
    <row r="602"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48"/>
    </row>
    <row r="603"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48"/>
    </row>
    <row r="604"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48"/>
    </row>
    <row r="605"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48"/>
    </row>
    <row r="606"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48"/>
    </row>
    <row r="607"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48"/>
    </row>
    <row r="608"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48"/>
    </row>
    <row r="609"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48"/>
    </row>
    <row r="610"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48"/>
    </row>
    <row r="611"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48"/>
    </row>
    <row r="612"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48"/>
    </row>
    <row r="613"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48"/>
    </row>
    <row r="614"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48"/>
    </row>
    <row r="615"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48"/>
    </row>
    <row r="616"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48"/>
    </row>
    <row r="617"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48"/>
    </row>
    <row r="618"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48"/>
    </row>
    <row r="619"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48"/>
    </row>
    <row r="620"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48"/>
    </row>
    <row r="621"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48"/>
    </row>
    <row r="622"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48"/>
    </row>
    <row r="623"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48"/>
    </row>
    <row r="624"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48"/>
    </row>
    <row r="625"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48"/>
    </row>
    <row r="626"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48"/>
    </row>
    <row r="627"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48"/>
    </row>
    <row r="628"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48"/>
    </row>
    <row r="629"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48"/>
    </row>
    <row r="630"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48"/>
    </row>
    <row r="631"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48"/>
    </row>
    <row r="632"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48"/>
    </row>
    <row r="633"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48"/>
    </row>
    <row r="634"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48"/>
    </row>
    <row r="635"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48"/>
    </row>
    <row r="636"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48"/>
    </row>
    <row r="637"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48"/>
    </row>
    <row r="638"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48"/>
    </row>
    <row r="639"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48"/>
    </row>
    <row r="640"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48"/>
    </row>
    <row r="641"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48"/>
    </row>
    <row r="642"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48"/>
    </row>
    <row r="643"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48"/>
    </row>
    <row r="644"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48"/>
    </row>
    <row r="645"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48"/>
    </row>
    <row r="646"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48"/>
    </row>
    <row r="647"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48"/>
    </row>
    <row r="648"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48"/>
    </row>
    <row r="649"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48"/>
    </row>
    <row r="650"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48"/>
    </row>
    <row r="651"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48"/>
    </row>
    <row r="652"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48"/>
    </row>
    <row r="653"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48"/>
    </row>
    <row r="654"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48"/>
    </row>
    <row r="655"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48"/>
    </row>
    <row r="656"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48"/>
    </row>
    <row r="657"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48"/>
    </row>
    <row r="658"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48"/>
    </row>
    <row r="659"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48"/>
    </row>
    <row r="660"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48"/>
    </row>
    <row r="661"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48"/>
    </row>
    <row r="662"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48"/>
    </row>
    <row r="663"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48"/>
    </row>
    <row r="664"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48"/>
    </row>
    <row r="665"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48"/>
    </row>
    <row r="666"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48"/>
    </row>
    <row r="667"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48"/>
    </row>
    <row r="668"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48"/>
    </row>
    <row r="669"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48"/>
    </row>
    <row r="670"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48"/>
    </row>
    <row r="671"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48"/>
    </row>
    <row r="672"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48"/>
    </row>
    <row r="673"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48"/>
    </row>
    <row r="674"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48"/>
    </row>
    <row r="675"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48"/>
    </row>
    <row r="676"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48"/>
    </row>
    <row r="677"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48"/>
    </row>
    <row r="678"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48"/>
    </row>
    <row r="679"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48"/>
    </row>
    <row r="680"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48"/>
    </row>
    <row r="681"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48"/>
    </row>
    <row r="682"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48"/>
    </row>
    <row r="683"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48"/>
    </row>
    <row r="684"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48"/>
    </row>
    <row r="685"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48"/>
    </row>
    <row r="686"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48"/>
    </row>
    <row r="687"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48"/>
    </row>
    <row r="688"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48"/>
    </row>
    <row r="689"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48"/>
    </row>
    <row r="690"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48"/>
    </row>
    <row r="691"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48"/>
    </row>
    <row r="692"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48"/>
    </row>
    <row r="693"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48"/>
    </row>
    <row r="694"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48"/>
    </row>
    <row r="695"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48"/>
    </row>
    <row r="696"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48"/>
    </row>
    <row r="697"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48"/>
    </row>
    <row r="698"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48"/>
    </row>
    <row r="699"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48"/>
    </row>
    <row r="700"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48"/>
    </row>
    <row r="701"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48"/>
    </row>
    <row r="702"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48"/>
    </row>
    <row r="703"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48"/>
    </row>
    <row r="704"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48"/>
    </row>
    <row r="705"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48"/>
    </row>
    <row r="706"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48"/>
    </row>
    <row r="707"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48"/>
    </row>
    <row r="708"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48"/>
    </row>
    <row r="709"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48"/>
    </row>
    <row r="710"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48"/>
    </row>
    <row r="711"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48"/>
    </row>
    <row r="712"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48"/>
    </row>
    <row r="713"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48"/>
    </row>
    <row r="714"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48"/>
    </row>
    <row r="715"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48"/>
    </row>
    <row r="716"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48"/>
    </row>
    <row r="717"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48"/>
    </row>
    <row r="718"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48"/>
    </row>
    <row r="719"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48"/>
    </row>
    <row r="720"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48"/>
    </row>
    <row r="721"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48"/>
    </row>
    <row r="722"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48"/>
    </row>
    <row r="723"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48"/>
    </row>
    <row r="724"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48"/>
    </row>
    <row r="725"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48"/>
    </row>
    <row r="726"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48"/>
    </row>
    <row r="727"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48"/>
    </row>
    <row r="728"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48"/>
    </row>
    <row r="729"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48"/>
    </row>
    <row r="730"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48"/>
    </row>
    <row r="731"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48"/>
    </row>
    <row r="732"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48"/>
    </row>
    <row r="733"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48"/>
    </row>
    <row r="734"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48"/>
    </row>
    <row r="735"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48"/>
    </row>
    <row r="736"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48"/>
    </row>
    <row r="737"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48"/>
    </row>
    <row r="738"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48"/>
    </row>
    <row r="739"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48"/>
    </row>
    <row r="740"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48"/>
    </row>
    <row r="741"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48"/>
    </row>
    <row r="742"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48"/>
    </row>
    <row r="743"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48"/>
    </row>
    <row r="744"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48"/>
    </row>
    <row r="745"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48"/>
    </row>
    <row r="746"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48"/>
    </row>
    <row r="747"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48"/>
    </row>
    <row r="748"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48"/>
    </row>
    <row r="749"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48"/>
    </row>
    <row r="750"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48"/>
    </row>
    <row r="751"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48"/>
    </row>
    <row r="752"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48"/>
    </row>
    <row r="753"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48"/>
    </row>
    <row r="754"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48"/>
    </row>
    <row r="755"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48"/>
    </row>
    <row r="756"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48"/>
    </row>
    <row r="757"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48"/>
    </row>
    <row r="758"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48"/>
    </row>
    <row r="759"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48"/>
    </row>
    <row r="760"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48"/>
    </row>
    <row r="761"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48"/>
    </row>
    <row r="762"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48"/>
    </row>
    <row r="763"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48"/>
    </row>
    <row r="764"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48"/>
    </row>
    <row r="765"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48"/>
    </row>
    <row r="766"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48"/>
    </row>
    <row r="767"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48"/>
    </row>
    <row r="768"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48"/>
    </row>
    <row r="769"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48"/>
    </row>
    <row r="770"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48"/>
    </row>
    <row r="771"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48"/>
    </row>
    <row r="772"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48"/>
    </row>
    <row r="773"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48"/>
    </row>
    <row r="774"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48"/>
    </row>
    <row r="775"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48"/>
    </row>
    <row r="776"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48"/>
    </row>
    <row r="777"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48"/>
    </row>
    <row r="778"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48"/>
    </row>
    <row r="779"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48"/>
    </row>
    <row r="780"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48"/>
    </row>
    <row r="781"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48"/>
    </row>
    <row r="782"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48"/>
    </row>
    <row r="783"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48"/>
    </row>
    <row r="784"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48"/>
    </row>
    <row r="785"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48"/>
    </row>
    <row r="786"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48"/>
    </row>
    <row r="787"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48"/>
    </row>
    <row r="788"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48"/>
    </row>
    <row r="789"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48"/>
    </row>
    <row r="790"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48"/>
    </row>
    <row r="791"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48"/>
    </row>
    <row r="792"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48"/>
    </row>
    <row r="793"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48"/>
    </row>
    <row r="794"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48"/>
    </row>
    <row r="795"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48"/>
    </row>
    <row r="796"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48"/>
    </row>
    <row r="797"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48"/>
    </row>
    <row r="798"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48"/>
    </row>
    <row r="799"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48"/>
    </row>
    <row r="800"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48"/>
    </row>
    <row r="801"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48"/>
    </row>
    <row r="802"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48"/>
    </row>
    <row r="803"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48"/>
    </row>
    <row r="804"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48"/>
    </row>
    <row r="805"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48"/>
    </row>
    <row r="806"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48"/>
    </row>
    <row r="807"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48"/>
    </row>
    <row r="808"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48"/>
    </row>
    <row r="809"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48"/>
    </row>
    <row r="810"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48"/>
    </row>
    <row r="811"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48"/>
    </row>
    <row r="812"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48"/>
    </row>
    <row r="813"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48"/>
    </row>
    <row r="814"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48"/>
    </row>
    <row r="815"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48"/>
    </row>
    <row r="816"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48"/>
    </row>
    <row r="817"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48"/>
    </row>
    <row r="818"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48"/>
    </row>
    <row r="819"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48"/>
    </row>
    <row r="820"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48"/>
    </row>
    <row r="821"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48"/>
    </row>
    <row r="822"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48"/>
    </row>
    <row r="823"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48"/>
    </row>
    <row r="824"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48"/>
    </row>
    <row r="825"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48"/>
    </row>
    <row r="826"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48"/>
    </row>
    <row r="827"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48"/>
    </row>
    <row r="828"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48"/>
    </row>
    <row r="829"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48"/>
    </row>
    <row r="830"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48"/>
    </row>
    <row r="831"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48"/>
    </row>
    <row r="832"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48"/>
    </row>
    <row r="833"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48"/>
    </row>
    <row r="834"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48"/>
    </row>
    <row r="835"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48"/>
    </row>
    <row r="836"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48"/>
    </row>
    <row r="837"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48"/>
    </row>
    <row r="838"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48"/>
    </row>
    <row r="839"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48"/>
    </row>
    <row r="840"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48"/>
    </row>
    <row r="841"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48"/>
    </row>
    <row r="842"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48"/>
    </row>
    <row r="843"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48"/>
    </row>
    <row r="844"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48"/>
    </row>
    <row r="845"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48"/>
    </row>
    <row r="846"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48"/>
    </row>
    <row r="847"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48"/>
    </row>
    <row r="848"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48"/>
    </row>
    <row r="849"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48"/>
    </row>
    <row r="850"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48"/>
    </row>
    <row r="851"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48"/>
    </row>
    <row r="852"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48"/>
    </row>
    <row r="853"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48"/>
    </row>
    <row r="854"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48"/>
    </row>
    <row r="855"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48"/>
    </row>
    <row r="856"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48"/>
    </row>
    <row r="857"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48"/>
    </row>
    <row r="858"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48"/>
    </row>
    <row r="859"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48"/>
    </row>
    <row r="860"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48"/>
    </row>
    <row r="861"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48"/>
    </row>
    <row r="862"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48"/>
    </row>
    <row r="863"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48"/>
    </row>
    <row r="864"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48"/>
    </row>
    <row r="865"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48"/>
    </row>
    <row r="866"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48"/>
    </row>
    <row r="867"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48"/>
    </row>
    <row r="868"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48"/>
    </row>
    <row r="869"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48"/>
    </row>
    <row r="870"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48"/>
    </row>
    <row r="871"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48"/>
    </row>
    <row r="872"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48"/>
    </row>
    <row r="873"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48"/>
    </row>
    <row r="874"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48"/>
    </row>
    <row r="875"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48"/>
    </row>
    <row r="876"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48"/>
    </row>
    <row r="877"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48"/>
    </row>
    <row r="878"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48"/>
    </row>
    <row r="879"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48"/>
    </row>
    <row r="880"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48"/>
    </row>
    <row r="881"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48"/>
    </row>
    <row r="882"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48"/>
    </row>
    <row r="883"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48"/>
    </row>
    <row r="884"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48"/>
    </row>
    <row r="885"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48"/>
    </row>
    <row r="886"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48"/>
    </row>
    <row r="887"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48"/>
    </row>
    <row r="888"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48"/>
    </row>
    <row r="889"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48"/>
    </row>
    <row r="890"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48"/>
    </row>
    <row r="891"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48"/>
    </row>
    <row r="892"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48"/>
    </row>
    <row r="893"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48"/>
    </row>
    <row r="894"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48"/>
    </row>
    <row r="895"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48"/>
    </row>
    <row r="896"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48"/>
    </row>
    <row r="897"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48"/>
    </row>
    <row r="898"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48"/>
    </row>
    <row r="899"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48"/>
    </row>
    <row r="900"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48"/>
    </row>
    <row r="901"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48"/>
    </row>
    <row r="902"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48"/>
    </row>
    <row r="903"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48"/>
    </row>
    <row r="904"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48"/>
    </row>
    <row r="905"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48"/>
    </row>
    <row r="906"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48"/>
    </row>
    <row r="907"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48"/>
    </row>
    <row r="908"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48"/>
    </row>
    <row r="909"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48"/>
    </row>
    <row r="910"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48"/>
    </row>
    <row r="911"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48"/>
    </row>
    <row r="912"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48"/>
    </row>
    <row r="913"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48"/>
    </row>
    <row r="914"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48"/>
    </row>
    <row r="915"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48"/>
    </row>
    <row r="916"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48"/>
    </row>
    <row r="917"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48"/>
    </row>
    <row r="918"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48"/>
    </row>
    <row r="919"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48"/>
    </row>
    <row r="920"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48"/>
    </row>
    <row r="921"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48"/>
    </row>
    <row r="922"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48"/>
    </row>
    <row r="923"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48"/>
    </row>
    <row r="924"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48"/>
    </row>
    <row r="925"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48"/>
    </row>
    <row r="926"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48"/>
    </row>
    <row r="927"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48"/>
    </row>
    <row r="928"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48"/>
    </row>
    <row r="929"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48"/>
    </row>
    <row r="930"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48"/>
    </row>
    <row r="931"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48"/>
    </row>
    <row r="932"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48"/>
    </row>
    <row r="933"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48"/>
    </row>
    <row r="934"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48"/>
    </row>
    <row r="935"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48"/>
    </row>
    <row r="936"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48"/>
    </row>
    <row r="937"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48"/>
    </row>
    <row r="938"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48"/>
    </row>
    <row r="939"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48"/>
    </row>
    <row r="940"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48"/>
    </row>
    <row r="941"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48"/>
    </row>
    <row r="942"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48"/>
    </row>
    <row r="943"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48"/>
    </row>
    <row r="944"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48"/>
    </row>
    <row r="945"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48"/>
    </row>
    <row r="946"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48"/>
    </row>
    <row r="947"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48"/>
    </row>
    <row r="948"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48"/>
    </row>
    <row r="949"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48"/>
    </row>
    <row r="950"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48"/>
    </row>
    <row r="951"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48"/>
    </row>
    <row r="952"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48"/>
    </row>
    <row r="953"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48"/>
    </row>
    <row r="954"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48"/>
    </row>
    <row r="955"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48"/>
    </row>
    <row r="956"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48"/>
    </row>
    <row r="957"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48"/>
    </row>
    <row r="958"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48"/>
    </row>
    <row r="959"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48"/>
    </row>
    <row r="960"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48"/>
    </row>
    <row r="961"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48"/>
    </row>
    <row r="962"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48"/>
    </row>
    <row r="963"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48"/>
    </row>
    <row r="964"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48"/>
    </row>
    <row r="965"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48"/>
    </row>
    <row r="966"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48"/>
    </row>
    <row r="967"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48"/>
    </row>
    <row r="968"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48"/>
    </row>
    <row r="969"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48"/>
    </row>
    <row r="970"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48"/>
    </row>
    <row r="971"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48"/>
    </row>
    <row r="972"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48"/>
    </row>
    <row r="973"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48"/>
    </row>
    <row r="974"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48"/>
    </row>
    <row r="975"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48"/>
    </row>
    <row r="976"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48"/>
    </row>
    <row r="977"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48"/>
    </row>
    <row r="978"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48"/>
    </row>
    <row r="979"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48"/>
    </row>
    <row r="980"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48"/>
    </row>
    <row r="981"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48"/>
    </row>
    <row r="982"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48"/>
    </row>
    <row r="983"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48"/>
    </row>
    <row r="984"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48"/>
    </row>
    <row r="985"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48"/>
    </row>
    <row r="986"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48"/>
    </row>
    <row r="987"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48"/>
    </row>
    <row r="988"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48"/>
    </row>
    <row r="989"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48"/>
    </row>
    <row r="990"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48"/>
    </row>
    <row r="991"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48"/>
    </row>
    <row r="992"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48"/>
    </row>
    <row r="993"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48"/>
    </row>
    <row r="994"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48"/>
    </row>
    <row r="995"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48"/>
    </row>
    <row r="996"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48"/>
    </row>
    <row r="997"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48"/>
    </row>
    <row r="998"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48"/>
    </row>
    <row r="999"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48"/>
    </row>
    <row r="1000"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48"/>
    </row>
    <row r="1001"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48"/>
    </row>
  </sheetData>
  <autoFilter ref="$A$1:$Q$172">
    <filterColumn colId="0">
      <filters>
        <filter val="Actual"/>
      </filters>
    </filterColumn>
    <filterColumn colId="1">
      <filters>
        <filter val="Revenues"/>
      </filters>
    </filterColumn>
    <sortState ref="A1:Q172">
      <sortCondition ref="D1:D172"/>
      <sortCondition ref="C1:C172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9.5"/>
    <col customWidth="1" min="2" max="2" width="52.63"/>
    <col customWidth="1" min="3" max="4" width="10.5"/>
    <col customWidth="1" min="5" max="5" width="9.75"/>
    <col customWidth="1" min="6" max="6" width="10.5"/>
    <col customWidth="1" min="7" max="7" width="9.0"/>
    <col customWidth="1" min="8" max="8" width="10.5"/>
    <col customWidth="1" min="9" max="9" width="9.0"/>
    <col customWidth="1" min="10" max="12" width="10.5"/>
    <col customWidth="1" min="13" max="28" width="7.63"/>
  </cols>
  <sheetData>
    <row r="1">
      <c r="A1" s="62"/>
      <c r="B1" s="62" t="s">
        <v>134</v>
      </c>
    </row>
    <row r="2">
      <c r="A2" s="62"/>
      <c r="B2" s="62" t="s">
        <v>135</v>
      </c>
    </row>
    <row r="3">
      <c r="A3" s="63"/>
      <c r="B3" s="64" t="s">
        <v>136</v>
      </c>
    </row>
    <row r="5">
      <c r="A5" s="65"/>
      <c r="B5" s="65"/>
      <c r="C5" s="66">
        <v>44378.0</v>
      </c>
      <c r="D5" s="66">
        <v>44409.0</v>
      </c>
      <c r="E5" s="66">
        <v>44440.0</v>
      </c>
      <c r="F5" s="66">
        <v>44470.0</v>
      </c>
      <c r="G5" s="66">
        <v>44501.0</v>
      </c>
      <c r="H5" s="66">
        <v>44531.0</v>
      </c>
      <c r="I5" s="66">
        <v>44562.0</v>
      </c>
      <c r="J5" s="66">
        <v>44593.0</v>
      </c>
      <c r="K5" s="66">
        <v>44621.0</v>
      </c>
      <c r="L5" s="66" t="s">
        <v>137</v>
      </c>
    </row>
    <row r="6">
      <c r="A6" s="67"/>
      <c r="B6" s="68" t="s">
        <v>138</v>
      </c>
      <c r="C6" s="69"/>
      <c r="D6" s="69"/>
      <c r="E6" s="69"/>
      <c r="F6" s="69"/>
      <c r="G6" s="69"/>
      <c r="H6" s="69"/>
      <c r="I6" s="69"/>
      <c r="J6" s="69"/>
      <c r="K6" s="69"/>
      <c r="L6" s="69"/>
    </row>
    <row r="7">
      <c r="A7" s="67" t="str">
        <f t="shared" ref="A7:A116" si="1">LEFT(TRIM(B7),9)</f>
        <v>0000-5100</v>
      </c>
      <c r="B7" s="68" t="s">
        <v>139</v>
      </c>
      <c r="C7" s="69"/>
      <c r="D7" s="69"/>
      <c r="E7" s="69"/>
      <c r="F7" s="69"/>
      <c r="G7" s="69"/>
      <c r="H7" s="69"/>
      <c r="I7" s="69"/>
      <c r="J7" s="70"/>
      <c r="K7" s="70"/>
      <c r="L7" s="70">
        <v>0.0</v>
      </c>
    </row>
    <row r="8">
      <c r="A8" s="67" t="str">
        <f t="shared" si="1"/>
        <v>0000-5113</v>
      </c>
      <c r="B8" s="68" t="s">
        <v>140</v>
      </c>
      <c r="C8" s="71">
        <v>14087.28</v>
      </c>
      <c r="D8" s="71">
        <v>50662.05</v>
      </c>
      <c r="E8" s="71">
        <v>28829.07</v>
      </c>
      <c r="F8" s="71">
        <v>27812.29</v>
      </c>
      <c r="G8" s="71">
        <v>17222.54</v>
      </c>
      <c r="H8" s="71">
        <v>25275.74</v>
      </c>
      <c r="I8" s="71">
        <v>30377.61</v>
      </c>
      <c r="J8" s="71">
        <v>29693.94</v>
      </c>
      <c r="K8" s="71">
        <v>25861.26</v>
      </c>
      <c r="L8" s="71">
        <v>249821.78</v>
      </c>
    </row>
    <row r="9">
      <c r="A9" s="67" t="str">
        <f t="shared" si="1"/>
        <v>0000-5141</v>
      </c>
      <c r="B9" s="68" t="s">
        <v>141</v>
      </c>
      <c r="C9" s="71">
        <v>0.18</v>
      </c>
      <c r="D9" s="69"/>
      <c r="E9" s="71">
        <v>0.2</v>
      </c>
      <c r="F9" s="71">
        <v>0.35</v>
      </c>
      <c r="G9" s="69"/>
      <c r="H9" s="71">
        <v>0.19</v>
      </c>
      <c r="I9" s="71">
        <v>0.19</v>
      </c>
      <c r="J9" s="71">
        <v>0.19</v>
      </c>
      <c r="K9" s="71">
        <v>0.17</v>
      </c>
      <c r="L9" s="71">
        <v>1.47</v>
      </c>
    </row>
    <row r="10">
      <c r="A10" s="67" t="str">
        <f t="shared" si="1"/>
        <v>0000-5151</v>
      </c>
      <c r="B10" s="68" t="s">
        <v>142</v>
      </c>
      <c r="C10" s="71">
        <v>545.0</v>
      </c>
      <c r="D10" s="71">
        <v>3400.0</v>
      </c>
      <c r="E10" s="71">
        <v>1345.0</v>
      </c>
      <c r="F10" s="71">
        <v>529.35</v>
      </c>
      <c r="G10" s="71">
        <v>1655.45</v>
      </c>
      <c r="H10" s="71">
        <v>4088.4</v>
      </c>
      <c r="I10" s="71">
        <v>145.0</v>
      </c>
      <c r="J10" s="71">
        <v>1539.35</v>
      </c>
      <c r="K10" s="71">
        <v>1554.4</v>
      </c>
      <c r="L10" s="71">
        <v>14801.95</v>
      </c>
    </row>
    <row r="11">
      <c r="A11" s="67" t="str">
        <f t="shared" si="1"/>
        <v>0000-5161</v>
      </c>
      <c r="B11" s="68" t="s">
        <v>143</v>
      </c>
      <c r="C11" s="69"/>
      <c r="D11" s="71">
        <v>110.0</v>
      </c>
      <c r="E11" s="69"/>
      <c r="F11" s="69"/>
      <c r="G11" s="69"/>
      <c r="H11" s="69"/>
      <c r="I11" s="69"/>
      <c r="J11" s="70"/>
      <c r="K11" s="70"/>
      <c r="L11" s="70">
        <v>110.0</v>
      </c>
    </row>
    <row r="12">
      <c r="A12" s="67" t="str">
        <f t="shared" si="1"/>
        <v>0000-5171</v>
      </c>
      <c r="B12" s="68" t="s">
        <v>144</v>
      </c>
      <c r="C12" s="69"/>
      <c r="D12" s="71">
        <v>160.0</v>
      </c>
      <c r="E12" s="71">
        <v>2490.0</v>
      </c>
      <c r="F12" s="71">
        <v>-40.0</v>
      </c>
      <c r="G12" s="71">
        <v>500.0</v>
      </c>
      <c r="H12" s="71">
        <v>295.0</v>
      </c>
      <c r="I12" s="69"/>
      <c r="J12" s="70"/>
      <c r="K12" s="71">
        <v>225.0</v>
      </c>
      <c r="L12" s="71">
        <v>3630.0</v>
      </c>
    </row>
    <row r="13">
      <c r="A13" s="67" t="str">
        <f t="shared" si="1"/>
        <v>0000-5172</v>
      </c>
      <c r="B13" s="68" t="s">
        <v>145</v>
      </c>
      <c r="C13" s="71">
        <v>490.0</v>
      </c>
      <c r="D13" s="71">
        <v>2379.5</v>
      </c>
      <c r="E13" s="71">
        <v>752.27</v>
      </c>
      <c r="F13" s="71">
        <v>280.0</v>
      </c>
      <c r="G13" s="71">
        <v>390.0</v>
      </c>
      <c r="H13" s="71">
        <v>580.0</v>
      </c>
      <c r="I13" s="71">
        <v>505.0</v>
      </c>
      <c r="J13" s="71">
        <v>180.0</v>
      </c>
      <c r="K13" s="71">
        <v>50.0</v>
      </c>
      <c r="L13" s="71">
        <v>5606.77</v>
      </c>
    </row>
    <row r="14">
      <c r="A14" s="67" t="str">
        <f t="shared" si="1"/>
        <v>0000-5179</v>
      </c>
      <c r="B14" s="68" t="s">
        <v>146</v>
      </c>
      <c r="C14" s="69"/>
      <c r="D14" s="69"/>
      <c r="E14" s="69"/>
      <c r="F14" s="69"/>
      <c r="G14" s="71">
        <v>1753.06</v>
      </c>
      <c r="H14" s="69"/>
      <c r="I14" s="69"/>
      <c r="J14" s="70"/>
      <c r="K14" s="70"/>
      <c r="L14" s="70">
        <v>1753.06</v>
      </c>
    </row>
    <row r="15">
      <c r="A15" s="67" t="str">
        <f t="shared" si="1"/>
        <v>0000-5192</v>
      </c>
      <c r="B15" s="68" t="s">
        <v>147</v>
      </c>
      <c r="C15" s="71">
        <v>37308.65</v>
      </c>
      <c r="D15" s="71">
        <v>8297.04</v>
      </c>
      <c r="E15" s="71">
        <v>15.28</v>
      </c>
      <c r="F15" s="71">
        <v>2138.71</v>
      </c>
      <c r="G15" s="71">
        <v>161061.0</v>
      </c>
      <c r="H15" s="71">
        <v>216449.0</v>
      </c>
      <c r="I15" s="71">
        <v>100202.0</v>
      </c>
      <c r="J15" s="71">
        <v>11156.05</v>
      </c>
      <c r="K15" s="71">
        <v>109.2</v>
      </c>
      <c r="L15" s="71">
        <v>536736.93</v>
      </c>
    </row>
    <row r="16">
      <c r="A16" s="67" t="str">
        <f t="shared" si="1"/>
        <v>0000-5198</v>
      </c>
      <c r="B16" s="68" t="s">
        <v>148</v>
      </c>
      <c r="C16" s="71">
        <v>251.0</v>
      </c>
      <c r="D16" s="69"/>
      <c r="E16" s="69"/>
      <c r="F16" s="71">
        <v>242.41</v>
      </c>
      <c r="G16" s="69"/>
      <c r="H16" s="69"/>
      <c r="I16" s="69"/>
      <c r="J16" s="70"/>
      <c r="K16" s="70"/>
      <c r="L16" s="70">
        <v>493.41</v>
      </c>
    </row>
    <row r="17">
      <c r="A17" s="67" t="str">
        <f t="shared" si="1"/>
        <v>0000-5199</v>
      </c>
      <c r="B17" s="68" t="s">
        <v>149</v>
      </c>
      <c r="C17" s="71">
        <v>89210.9</v>
      </c>
      <c r="D17" s="71">
        <v>91037.41</v>
      </c>
      <c r="E17" s="71">
        <v>89178.27</v>
      </c>
      <c r="F17" s="71">
        <v>108598.43</v>
      </c>
      <c r="G17" s="71">
        <v>97091.05</v>
      </c>
      <c r="H17" s="71">
        <v>434675.64</v>
      </c>
      <c r="I17" s="71">
        <v>85666.45</v>
      </c>
      <c r="J17" s="71">
        <v>87075.87</v>
      </c>
      <c r="K17" s="71">
        <v>94266.57</v>
      </c>
      <c r="L17" s="71">
        <v>1176800.59</v>
      </c>
    </row>
    <row r="18">
      <c r="A18" s="67" t="str">
        <f t="shared" si="1"/>
        <v>Total 000</v>
      </c>
      <c r="B18" s="68" t="s">
        <v>150</v>
      </c>
      <c r="C18" s="72">
        <v>141893.01</v>
      </c>
      <c r="D18" s="72">
        <v>156046.0</v>
      </c>
      <c r="E18" s="72">
        <v>122610.09</v>
      </c>
      <c r="F18" s="72">
        <v>139561.54</v>
      </c>
      <c r="G18" s="72">
        <v>279673.1</v>
      </c>
      <c r="H18" s="72">
        <v>681363.97</v>
      </c>
      <c r="I18" s="72">
        <v>216896.25</v>
      </c>
      <c r="J18" s="72">
        <v>129645.4</v>
      </c>
      <c r="K18" s="72">
        <v>122066.6</v>
      </c>
      <c r="L18" s="72">
        <v>1989755.96</v>
      </c>
    </row>
    <row r="19">
      <c r="A19" s="67" t="str">
        <f t="shared" si="1"/>
        <v>0000-5300</v>
      </c>
      <c r="B19" s="68" t="s">
        <v>151</v>
      </c>
      <c r="C19" s="69"/>
      <c r="D19" s="69"/>
      <c r="E19" s="69"/>
      <c r="F19" s="69"/>
      <c r="G19" s="69"/>
      <c r="H19" s="69"/>
      <c r="I19" s="69"/>
      <c r="J19" s="70"/>
      <c r="K19" s="70"/>
      <c r="L19" s="70">
        <v>0.0</v>
      </c>
    </row>
    <row r="20">
      <c r="A20" s="67" t="str">
        <f t="shared" si="1"/>
        <v>0000-5311</v>
      </c>
      <c r="B20" s="68" t="s">
        <v>152</v>
      </c>
      <c r="C20" s="71">
        <v>168508.0</v>
      </c>
      <c r="D20" s="71">
        <v>170136.0</v>
      </c>
      <c r="E20" s="71">
        <v>257019.0</v>
      </c>
      <c r="F20" s="71">
        <v>671537.0</v>
      </c>
      <c r="G20" s="71">
        <v>350761.0</v>
      </c>
      <c r="H20" s="71">
        <v>252900.0</v>
      </c>
      <c r="I20" s="71">
        <v>305895.0</v>
      </c>
      <c r="J20" s="71">
        <v>310939.0</v>
      </c>
      <c r="K20" s="71">
        <v>507771.0</v>
      </c>
      <c r="L20" s="71">
        <v>2995466.0</v>
      </c>
    </row>
    <row r="21">
      <c r="A21" s="67" t="str">
        <f t="shared" si="1"/>
        <v>0000-5319</v>
      </c>
      <c r="B21" s="68" t="s">
        <v>153</v>
      </c>
      <c r="C21" s="71">
        <v>10832.29</v>
      </c>
      <c r="D21" s="71">
        <v>8860.7</v>
      </c>
      <c r="E21" s="71">
        <v>9840.03</v>
      </c>
      <c r="F21" s="71">
        <v>9875.65</v>
      </c>
      <c r="G21" s="71">
        <v>5667.97</v>
      </c>
      <c r="H21" s="71">
        <v>9012.59</v>
      </c>
      <c r="I21" s="71">
        <v>9035.71</v>
      </c>
      <c r="J21" s="71">
        <v>8983.83</v>
      </c>
      <c r="K21" s="71">
        <v>9015.59</v>
      </c>
      <c r="L21" s="71">
        <v>81124.36</v>
      </c>
    </row>
    <row r="22">
      <c r="A22" s="67" t="str">
        <f t="shared" si="1"/>
        <v>Total 000</v>
      </c>
      <c r="B22" s="68" t="s">
        <v>154</v>
      </c>
      <c r="C22" s="72">
        <v>179340.29</v>
      </c>
      <c r="D22" s="72">
        <v>178996.7</v>
      </c>
      <c r="E22" s="72">
        <v>266859.03</v>
      </c>
      <c r="F22" s="72">
        <v>681412.65</v>
      </c>
      <c r="G22" s="72">
        <v>356428.97</v>
      </c>
      <c r="H22" s="72">
        <v>261912.59</v>
      </c>
      <c r="I22" s="72">
        <v>314930.71</v>
      </c>
      <c r="J22" s="72">
        <v>319922.83</v>
      </c>
      <c r="K22" s="72">
        <v>516786.59</v>
      </c>
      <c r="L22" s="72">
        <v>3076590.36</v>
      </c>
    </row>
    <row r="23">
      <c r="A23" s="67" t="str">
        <f t="shared" si="1"/>
        <v>0000-5400</v>
      </c>
      <c r="B23" s="68" t="s">
        <v>155</v>
      </c>
      <c r="C23" s="69"/>
      <c r="D23" s="69"/>
      <c r="E23" s="69"/>
      <c r="F23" s="69"/>
      <c r="G23" s="69"/>
      <c r="H23" s="69"/>
      <c r="I23" s="69"/>
      <c r="J23" s="70"/>
      <c r="K23" s="70"/>
      <c r="L23" s="70">
        <v>0.0</v>
      </c>
    </row>
    <row r="24">
      <c r="A24" s="67" t="str">
        <f t="shared" si="1"/>
        <v>0000-5412</v>
      </c>
      <c r="B24" s="68" t="s">
        <v>156</v>
      </c>
      <c r="C24" s="69"/>
      <c r="D24" s="71">
        <v>4986.02</v>
      </c>
      <c r="E24" s="69"/>
      <c r="F24" s="69"/>
      <c r="G24" s="69"/>
      <c r="H24" s="71">
        <v>1879.43</v>
      </c>
      <c r="I24" s="69"/>
      <c r="J24" s="70"/>
      <c r="K24" s="71">
        <v>9689.45</v>
      </c>
      <c r="L24" s="71">
        <v>16554.9</v>
      </c>
    </row>
    <row r="25">
      <c r="A25" s="67" t="str">
        <f t="shared" si="1"/>
        <v>0000-5441</v>
      </c>
      <c r="B25" s="68" t="s">
        <v>157</v>
      </c>
      <c r="C25" s="71"/>
      <c r="D25" s="69"/>
      <c r="E25" s="69"/>
      <c r="F25" s="71"/>
      <c r="G25" s="71"/>
      <c r="H25" s="69"/>
      <c r="I25" s="71"/>
      <c r="J25" s="71"/>
      <c r="K25" s="71">
        <v>74515.26</v>
      </c>
      <c r="L25" s="71">
        <v>74515.26</v>
      </c>
    </row>
    <row r="26">
      <c r="A26" s="67" t="str">
        <f t="shared" si="1"/>
        <v>0000-5445</v>
      </c>
      <c r="B26" s="68" t="s">
        <v>158</v>
      </c>
      <c r="C26" s="71">
        <v>4180.68</v>
      </c>
      <c r="D26" s="69"/>
      <c r="E26" s="69"/>
      <c r="F26" s="71">
        <v>6802.44</v>
      </c>
      <c r="G26" s="71">
        <v>5287.01</v>
      </c>
      <c r="H26" s="69"/>
      <c r="I26" s="71">
        <v>18684.09</v>
      </c>
      <c r="J26" s="71">
        <v>0.0</v>
      </c>
      <c r="K26" s="71">
        <v>7676.92</v>
      </c>
      <c r="L26" s="71">
        <v>42631.14</v>
      </c>
    </row>
    <row r="27">
      <c r="A27" s="67" t="str">
        <f t="shared" si="1"/>
        <v>0000-5446</v>
      </c>
      <c r="B27" s="68" t="s">
        <v>159</v>
      </c>
      <c r="C27" s="71">
        <v>275.75</v>
      </c>
      <c r="D27" s="69"/>
      <c r="E27" s="69"/>
      <c r="F27" s="71">
        <v>673.89</v>
      </c>
      <c r="G27" s="71">
        <v>729.71</v>
      </c>
      <c r="H27" s="69"/>
      <c r="I27" s="71">
        <v>3725.96</v>
      </c>
      <c r="J27" s="71">
        <v>423.62</v>
      </c>
      <c r="K27" s="71">
        <v>651.82</v>
      </c>
      <c r="L27" s="71">
        <v>6480.75</v>
      </c>
    </row>
    <row r="28">
      <c r="A28" s="67" t="str">
        <f t="shared" si="1"/>
        <v>0000-5451</v>
      </c>
      <c r="B28" s="68" t="s">
        <v>160</v>
      </c>
      <c r="C28" s="71">
        <v>73511.06</v>
      </c>
      <c r="D28" s="69"/>
      <c r="E28" s="69"/>
      <c r="F28" s="69"/>
      <c r="G28" s="69"/>
      <c r="H28" s="69"/>
      <c r="I28" s="69"/>
      <c r="J28" s="70"/>
      <c r="K28" s="70"/>
      <c r="L28" s="70">
        <v>73511.06</v>
      </c>
    </row>
    <row r="29">
      <c r="A29" s="67" t="str">
        <f t="shared" si="1"/>
        <v>0000-5461</v>
      </c>
      <c r="B29" s="68" t="s">
        <v>161</v>
      </c>
      <c r="C29" s="71">
        <v>7219.91</v>
      </c>
      <c r="D29" s="69"/>
      <c r="E29" s="69"/>
      <c r="F29" s="69"/>
      <c r="G29" s="69"/>
      <c r="H29" s="69"/>
      <c r="I29" s="69"/>
      <c r="J29" s="70"/>
      <c r="K29" s="70"/>
      <c r="L29" s="70">
        <v>7219.91</v>
      </c>
    </row>
    <row r="30">
      <c r="A30" s="67" t="str">
        <f t="shared" si="1"/>
        <v>0000-5465</v>
      </c>
      <c r="B30" s="68" t="s">
        <v>162</v>
      </c>
      <c r="C30" s="71">
        <v>7990.51</v>
      </c>
      <c r="D30" s="69"/>
      <c r="E30" s="69"/>
      <c r="F30" s="69"/>
      <c r="G30" s="69"/>
      <c r="H30" s="69"/>
      <c r="I30" s="69"/>
      <c r="J30" s="70"/>
      <c r="K30" s="70"/>
      <c r="L30" s="70">
        <v>7990.51</v>
      </c>
    </row>
    <row r="31">
      <c r="A31" s="67" t="str">
        <f t="shared" si="1"/>
        <v>0000-5471</v>
      </c>
      <c r="B31" s="68" t="s">
        <v>163</v>
      </c>
      <c r="C31" s="69"/>
      <c r="D31" s="69"/>
      <c r="E31" s="69"/>
      <c r="F31" s="69"/>
      <c r="G31" s="69"/>
      <c r="H31" s="69"/>
      <c r="I31" s="71">
        <v>6104.46</v>
      </c>
      <c r="J31" s="70"/>
      <c r="K31" s="70"/>
      <c r="L31" s="70">
        <v>6104.46</v>
      </c>
    </row>
    <row r="32">
      <c r="A32" s="67" t="str">
        <f t="shared" si="1"/>
        <v>0000-5497</v>
      </c>
      <c r="B32" s="68" t="s">
        <v>164</v>
      </c>
      <c r="C32" s="69"/>
      <c r="D32" s="69"/>
      <c r="E32" s="69"/>
      <c r="F32" s="71">
        <v>392891.84</v>
      </c>
      <c r="G32" s="69"/>
      <c r="H32" s="69"/>
      <c r="I32" s="69"/>
      <c r="J32" s="70"/>
      <c r="K32" s="70"/>
      <c r="L32" s="70">
        <v>392891.84</v>
      </c>
    </row>
    <row r="33">
      <c r="A33" s="67" t="str">
        <f t="shared" si="1"/>
        <v>Total 000</v>
      </c>
      <c r="B33" s="68" t="s">
        <v>165</v>
      </c>
      <c r="C33" s="72">
        <v>93177.91</v>
      </c>
      <c r="D33" s="72">
        <v>4986.02</v>
      </c>
      <c r="E33" s="72">
        <v>0.0</v>
      </c>
      <c r="F33" s="72">
        <v>400368.17</v>
      </c>
      <c r="G33" s="72">
        <v>6016.72</v>
      </c>
      <c r="H33" s="72">
        <v>1879.43</v>
      </c>
      <c r="I33" s="72">
        <v>28514.51</v>
      </c>
      <c r="J33" s="72">
        <v>423.62</v>
      </c>
      <c r="K33" s="72">
        <v>92533.45</v>
      </c>
      <c r="L33" s="72">
        <v>627899.83</v>
      </c>
    </row>
    <row r="34">
      <c r="A34" s="67" t="str">
        <f t="shared" si="1"/>
        <v>0000-5800</v>
      </c>
      <c r="B34" s="68" t="s">
        <v>166</v>
      </c>
      <c r="C34" s="69"/>
      <c r="D34" s="69"/>
      <c r="E34" s="69"/>
      <c r="F34" s="69"/>
      <c r="G34" s="69"/>
      <c r="H34" s="69"/>
      <c r="I34" s="69"/>
      <c r="J34" s="70"/>
      <c r="K34" s="70"/>
      <c r="L34" s="70">
        <v>0.0</v>
      </c>
    </row>
    <row r="35">
      <c r="A35" s="67" t="str">
        <f t="shared" si="1"/>
        <v>0000-5841</v>
      </c>
      <c r="B35" s="68" t="s">
        <v>167</v>
      </c>
      <c r="C35" s="71">
        <v>2804.38</v>
      </c>
      <c r="D35" s="69"/>
      <c r="E35" s="69"/>
      <c r="F35" s="69"/>
      <c r="G35" s="69"/>
      <c r="H35" s="69"/>
      <c r="I35" s="69"/>
      <c r="J35" s="70"/>
      <c r="K35" s="70"/>
      <c r="L35" s="70">
        <v>2804.38</v>
      </c>
    </row>
    <row r="36">
      <c r="A36" s="67" t="str">
        <f t="shared" si="1"/>
        <v>Total 000</v>
      </c>
      <c r="B36" s="68" t="s">
        <v>168</v>
      </c>
      <c r="C36" s="72">
        <v>2804.38</v>
      </c>
      <c r="D36" s="72">
        <v>0.0</v>
      </c>
      <c r="E36" s="72">
        <v>0.0</v>
      </c>
      <c r="F36" s="72">
        <v>0.0</v>
      </c>
      <c r="G36" s="72">
        <v>0.0</v>
      </c>
      <c r="H36" s="72">
        <v>0.0</v>
      </c>
      <c r="I36" s="72">
        <v>0.0</v>
      </c>
      <c r="J36" s="72">
        <v>0.0</v>
      </c>
      <c r="K36" s="72">
        <v>0.0</v>
      </c>
      <c r="L36" s="72">
        <v>2804.38</v>
      </c>
    </row>
    <row r="37">
      <c r="A37" s="67" t="str">
        <f t="shared" si="1"/>
        <v>Total Rev</v>
      </c>
      <c r="B37" s="68" t="s">
        <v>169</v>
      </c>
      <c r="C37" s="72">
        <v>417215.59</v>
      </c>
      <c r="D37" s="72">
        <v>340028.72</v>
      </c>
      <c r="E37" s="72">
        <v>389469.12</v>
      </c>
      <c r="F37" s="72">
        <v>1221342.36</v>
      </c>
      <c r="G37" s="72">
        <v>642118.79</v>
      </c>
      <c r="H37" s="72">
        <v>945155.99</v>
      </c>
      <c r="I37" s="72">
        <v>560341.47</v>
      </c>
      <c r="J37" s="72">
        <v>449991.85</v>
      </c>
      <c r="K37" s="72">
        <v>731386.64</v>
      </c>
      <c r="L37" s="72">
        <v>5697050.53</v>
      </c>
    </row>
    <row r="38">
      <c r="A38" s="67" t="str">
        <f t="shared" si="1"/>
        <v>Gross Pro</v>
      </c>
      <c r="B38" s="68" t="s">
        <v>170</v>
      </c>
      <c r="C38" s="72">
        <v>417215.59</v>
      </c>
      <c r="D38" s="72">
        <v>340028.72</v>
      </c>
      <c r="E38" s="72">
        <v>389469.12</v>
      </c>
      <c r="F38" s="72">
        <v>1221342.36</v>
      </c>
      <c r="G38" s="72">
        <v>642118.79</v>
      </c>
      <c r="H38" s="72">
        <v>945155.99</v>
      </c>
      <c r="I38" s="72">
        <v>560341.47</v>
      </c>
      <c r="J38" s="72">
        <v>449991.85</v>
      </c>
      <c r="K38" s="72">
        <v>731386.64</v>
      </c>
      <c r="L38" s="72">
        <v>5697050.53</v>
      </c>
    </row>
    <row r="39">
      <c r="A39" s="67" t="str">
        <f t="shared" si="1"/>
        <v>Expenditu</v>
      </c>
      <c r="B39" s="68" t="s">
        <v>171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</row>
    <row r="40">
      <c r="A40" s="67" t="str">
        <f t="shared" si="1"/>
        <v>0000-6100</v>
      </c>
      <c r="B40" s="68" t="s">
        <v>172</v>
      </c>
      <c r="C40" s="69"/>
      <c r="D40" s="69"/>
      <c r="E40" s="69"/>
      <c r="F40" s="69"/>
      <c r="G40" s="69"/>
      <c r="H40" s="69"/>
      <c r="I40" s="69"/>
      <c r="J40" s="70"/>
      <c r="K40" s="70"/>
      <c r="L40" s="70">
        <v>0.0</v>
      </c>
    </row>
    <row r="41">
      <c r="A41" s="67" t="str">
        <f t="shared" si="1"/>
        <v>1131-6111</v>
      </c>
      <c r="B41" s="68" t="s">
        <v>173</v>
      </c>
      <c r="C41" s="71">
        <v>72029.51</v>
      </c>
      <c r="D41" s="71">
        <v>70114.35</v>
      </c>
      <c r="E41" s="71">
        <v>68891.04</v>
      </c>
      <c r="F41" s="71">
        <v>84501.85</v>
      </c>
      <c r="G41" s="71">
        <v>70811.68</v>
      </c>
      <c r="H41" s="71">
        <v>96112.1</v>
      </c>
      <c r="I41" s="71">
        <v>70715.41</v>
      </c>
      <c r="J41" s="71">
        <v>66730.43</v>
      </c>
      <c r="K41" s="71">
        <v>70130.27</v>
      </c>
      <c r="L41" s="71">
        <v>670036.64</v>
      </c>
    </row>
    <row r="42">
      <c r="A42" s="67" t="str">
        <f t="shared" si="1"/>
        <v>1411-6131</v>
      </c>
      <c r="B42" s="68" t="s">
        <v>174</v>
      </c>
      <c r="C42" s="69"/>
      <c r="D42" s="69"/>
      <c r="E42" s="69"/>
      <c r="F42" s="69"/>
      <c r="G42" s="69"/>
      <c r="H42" s="71">
        <v>2100.0</v>
      </c>
      <c r="I42" s="69"/>
      <c r="J42" s="70"/>
      <c r="K42" s="70"/>
      <c r="L42" s="70">
        <v>2100.0</v>
      </c>
    </row>
    <row r="43">
      <c r="A43" s="67" t="str">
        <f t="shared" si="1"/>
        <v>Total 000</v>
      </c>
      <c r="B43" s="68" t="s">
        <v>175</v>
      </c>
      <c r="C43" s="72">
        <v>72029.51</v>
      </c>
      <c r="D43" s="72">
        <v>70114.35</v>
      </c>
      <c r="E43" s="72">
        <v>68891.04</v>
      </c>
      <c r="F43" s="72">
        <v>84501.85</v>
      </c>
      <c r="G43" s="72">
        <v>70811.68</v>
      </c>
      <c r="H43" s="72">
        <v>98212.1</v>
      </c>
      <c r="I43" s="72">
        <v>70715.41</v>
      </c>
      <c r="J43" s="72">
        <v>66730.43</v>
      </c>
      <c r="K43" s="72">
        <v>70130.27</v>
      </c>
      <c r="L43" s="72">
        <v>672136.64</v>
      </c>
    </row>
    <row r="44">
      <c r="A44" s="67" t="str">
        <f t="shared" si="1"/>
        <v>0000-6200</v>
      </c>
      <c r="B44" s="68" t="s">
        <v>176</v>
      </c>
      <c r="C44" s="69"/>
      <c r="D44" s="69"/>
      <c r="E44" s="69"/>
      <c r="F44" s="69"/>
      <c r="G44" s="69"/>
      <c r="H44" s="69"/>
      <c r="I44" s="69"/>
      <c r="J44" s="70"/>
      <c r="K44" s="70"/>
      <c r="L44" s="70">
        <v>0.0</v>
      </c>
    </row>
    <row r="45">
      <c r="A45" s="67" t="str">
        <f t="shared" si="1"/>
        <v>1131-6211</v>
      </c>
      <c r="B45" s="68" t="s">
        <v>177</v>
      </c>
      <c r="C45" s="71">
        <v>10444.28</v>
      </c>
      <c r="D45" s="71">
        <v>10166.6</v>
      </c>
      <c r="E45" s="71">
        <v>9989.22</v>
      </c>
      <c r="F45" s="71">
        <v>12252.76</v>
      </c>
      <c r="G45" s="71">
        <v>10267.71</v>
      </c>
      <c r="H45" s="71">
        <v>14240.74</v>
      </c>
      <c r="I45" s="71">
        <v>9900.13</v>
      </c>
      <c r="J45" s="71">
        <v>9342.28</v>
      </c>
      <c r="K45" s="71">
        <v>11049.22</v>
      </c>
      <c r="L45" s="71">
        <v>97652.94</v>
      </c>
    </row>
    <row r="46">
      <c r="A46" s="67" t="str">
        <f t="shared" si="1"/>
        <v>1131-6231</v>
      </c>
      <c r="B46" s="68" t="s">
        <v>178</v>
      </c>
      <c r="C46" s="71">
        <v>4436.47</v>
      </c>
      <c r="D46" s="71">
        <v>4241.12</v>
      </c>
      <c r="E46" s="71">
        <v>4175.76</v>
      </c>
      <c r="F46" s="71">
        <v>5146.98</v>
      </c>
      <c r="G46" s="71">
        <v>4226.36</v>
      </c>
      <c r="H46" s="71">
        <v>5989.42</v>
      </c>
      <c r="I46" s="71">
        <v>4276.93</v>
      </c>
      <c r="J46" s="71">
        <v>4038.89</v>
      </c>
      <c r="K46" s="71">
        <v>4172.85</v>
      </c>
      <c r="L46" s="71">
        <v>40704.78</v>
      </c>
    </row>
    <row r="47">
      <c r="A47" s="67" t="str">
        <f t="shared" si="1"/>
        <v>1131-6232</v>
      </c>
      <c r="B47" s="68" t="s">
        <v>179</v>
      </c>
      <c r="C47" s="71">
        <v>1037.56</v>
      </c>
      <c r="D47" s="71">
        <v>991.87</v>
      </c>
      <c r="E47" s="71">
        <v>976.59</v>
      </c>
      <c r="F47" s="71">
        <v>1203.73</v>
      </c>
      <c r="G47" s="71">
        <v>988.42</v>
      </c>
      <c r="H47" s="71">
        <v>1400.73</v>
      </c>
      <c r="I47" s="71">
        <v>1000.24</v>
      </c>
      <c r="J47" s="71">
        <v>944.57</v>
      </c>
      <c r="K47" s="71">
        <v>975.9</v>
      </c>
      <c r="L47" s="71">
        <v>9519.61</v>
      </c>
    </row>
    <row r="48">
      <c r="A48" s="67" t="str">
        <f t="shared" si="1"/>
        <v>1131-6241</v>
      </c>
      <c r="B48" s="68" t="s">
        <v>180</v>
      </c>
      <c r="C48" s="71">
        <v>1263.08</v>
      </c>
      <c r="D48" s="71">
        <v>5523.47</v>
      </c>
      <c r="E48" s="71">
        <v>5145.66</v>
      </c>
      <c r="F48" s="71">
        <v>5493.11</v>
      </c>
      <c r="G48" s="71">
        <v>10796.88</v>
      </c>
      <c r="H48" s="71">
        <v>4751.37</v>
      </c>
      <c r="I48" s="71">
        <v>-226.26</v>
      </c>
      <c r="J48" s="71">
        <v>6019.7</v>
      </c>
      <c r="K48" s="71">
        <v>7938.33</v>
      </c>
      <c r="L48" s="71">
        <v>46705.34</v>
      </c>
    </row>
    <row r="49">
      <c r="A49" s="67" t="str">
        <f t="shared" si="1"/>
        <v>Total 000</v>
      </c>
      <c r="B49" s="68" t="s">
        <v>181</v>
      </c>
      <c r="C49" s="72">
        <v>17181.39</v>
      </c>
      <c r="D49" s="72">
        <v>20923.06</v>
      </c>
      <c r="E49" s="72">
        <v>20287.23</v>
      </c>
      <c r="F49" s="72">
        <v>24096.58</v>
      </c>
      <c r="G49" s="72">
        <v>26279.37</v>
      </c>
      <c r="H49" s="72">
        <v>26382.26</v>
      </c>
      <c r="I49" s="72">
        <v>14951.04</v>
      </c>
      <c r="J49" s="72">
        <v>20345.44</v>
      </c>
      <c r="K49" s="72">
        <v>24136.3</v>
      </c>
      <c r="L49" s="72">
        <v>194582.67</v>
      </c>
    </row>
    <row r="50">
      <c r="A50" s="67" t="str">
        <f t="shared" si="1"/>
        <v>0000-6399</v>
      </c>
      <c r="B50" s="68" t="s">
        <v>182</v>
      </c>
      <c r="C50" s="71">
        <v>89210.9</v>
      </c>
      <c r="D50" s="71">
        <v>91037.41</v>
      </c>
      <c r="E50" s="71">
        <v>89178.27</v>
      </c>
      <c r="F50" s="71">
        <v>108598.43</v>
      </c>
      <c r="G50" s="71">
        <v>97091.05</v>
      </c>
      <c r="H50" s="71">
        <v>434675.64</v>
      </c>
      <c r="I50" s="71">
        <v>85666.45</v>
      </c>
      <c r="J50" s="71">
        <v>87075.87</v>
      </c>
      <c r="K50" s="71">
        <v>94266.57</v>
      </c>
      <c r="L50" s="71">
        <v>1176800.59</v>
      </c>
    </row>
    <row r="51">
      <c r="A51" s="67" t="str">
        <f t="shared" si="1"/>
        <v>0000-6XXX</v>
      </c>
      <c r="B51" s="68" t="s">
        <v>183</v>
      </c>
      <c r="C51" s="69"/>
      <c r="D51" s="69"/>
      <c r="E51" s="69"/>
      <c r="F51" s="69"/>
      <c r="G51" s="69"/>
      <c r="H51" s="69"/>
      <c r="I51" s="69"/>
      <c r="J51" s="70"/>
      <c r="K51" s="70"/>
      <c r="L51" s="70">
        <v>0.0</v>
      </c>
    </row>
    <row r="52">
      <c r="A52" s="67" t="str">
        <f t="shared" si="1"/>
        <v>2213-6319</v>
      </c>
      <c r="B52" s="68" t="s">
        <v>184</v>
      </c>
      <c r="C52" s="71">
        <v>45000.0</v>
      </c>
      <c r="D52" s="69"/>
      <c r="E52" s="71">
        <v>550.0</v>
      </c>
      <c r="F52" s="71">
        <v>3293.55</v>
      </c>
      <c r="G52" s="71">
        <v>2159.48</v>
      </c>
      <c r="H52" s="71">
        <v>1869.05</v>
      </c>
      <c r="I52" s="71">
        <v>2136.3</v>
      </c>
      <c r="J52" s="71">
        <v>2418.3</v>
      </c>
      <c r="K52" s="71">
        <v>600.0</v>
      </c>
      <c r="L52" s="71">
        <v>58026.68</v>
      </c>
    </row>
    <row r="53">
      <c r="A53" s="67" t="str">
        <f t="shared" si="1"/>
        <v>2213-6343</v>
      </c>
      <c r="B53" s="68" t="s">
        <v>185</v>
      </c>
      <c r="C53" s="69"/>
      <c r="D53" s="69"/>
      <c r="E53" s="69"/>
      <c r="F53" s="71">
        <v>151.13</v>
      </c>
      <c r="G53" s="69"/>
      <c r="H53" s="69"/>
      <c r="I53" s="69"/>
      <c r="J53" s="70"/>
      <c r="K53" s="70"/>
      <c r="L53" s="70">
        <v>151.13</v>
      </c>
    </row>
    <row r="54">
      <c r="A54" s="67" t="str">
        <f t="shared" si="1"/>
        <v>2323-6319</v>
      </c>
      <c r="B54" s="68" t="s">
        <v>186</v>
      </c>
      <c r="C54" s="69"/>
      <c r="D54" s="69"/>
      <c r="E54" s="69"/>
      <c r="F54" s="69"/>
      <c r="G54" s="69"/>
      <c r="H54" s="71">
        <v>276.0</v>
      </c>
      <c r="I54" s="69"/>
      <c r="J54" s="70"/>
      <c r="K54" s="70"/>
      <c r="L54" s="70">
        <v>276.0</v>
      </c>
    </row>
    <row r="55">
      <c r="A55" s="67" t="str">
        <f t="shared" si="1"/>
        <v>2323-6411</v>
      </c>
      <c r="B55" s="68" t="s">
        <v>187</v>
      </c>
      <c r="C55" s="71">
        <v>350.61</v>
      </c>
      <c r="D55" s="69"/>
      <c r="E55" s="69"/>
      <c r="F55" s="71">
        <v>36.01</v>
      </c>
      <c r="G55" s="71">
        <v>955.2</v>
      </c>
      <c r="H55" s="71">
        <v>4141.99</v>
      </c>
      <c r="I55" s="69"/>
      <c r="J55" s="71">
        <v>60.78</v>
      </c>
      <c r="K55" s="71">
        <v>31.11</v>
      </c>
      <c r="L55" s="71">
        <v>5575.7</v>
      </c>
    </row>
    <row r="56">
      <c r="A56" s="67" t="str">
        <f t="shared" si="1"/>
        <v>Total 000</v>
      </c>
      <c r="B56" s="68" t="s">
        <v>188</v>
      </c>
      <c r="C56" s="72">
        <v>45350.61</v>
      </c>
      <c r="D56" s="72">
        <v>0.0</v>
      </c>
      <c r="E56" s="72">
        <v>550.0</v>
      </c>
      <c r="F56" s="72">
        <v>3480.69</v>
      </c>
      <c r="G56" s="72">
        <v>3114.68</v>
      </c>
      <c r="H56" s="72">
        <v>6287.04</v>
      </c>
      <c r="I56" s="72">
        <v>2136.3</v>
      </c>
      <c r="J56" s="72">
        <v>2479.08</v>
      </c>
      <c r="K56" s="72">
        <v>631.11</v>
      </c>
      <c r="L56" s="72">
        <v>64029.51</v>
      </c>
    </row>
    <row r="57">
      <c r="A57" s="67" t="str">
        <f t="shared" si="1"/>
        <v>0000-6XXX</v>
      </c>
      <c r="B57" s="68" t="s">
        <v>189</v>
      </c>
      <c r="C57" s="69"/>
      <c r="D57" s="69"/>
      <c r="E57" s="69"/>
      <c r="F57" s="69"/>
      <c r="G57" s="69"/>
      <c r="H57" s="69"/>
      <c r="I57" s="69"/>
      <c r="J57" s="70"/>
      <c r="K57" s="70"/>
      <c r="L57" s="70">
        <v>0.0</v>
      </c>
    </row>
    <row r="58">
      <c r="A58" s="67" t="str">
        <f t="shared" si="1"/>
        <v>2542-6333</v>
      </c>
      <c r="B58" s="68" t="s">
        <v>190</v>
      </c>
      <c r="C58" s="71">
        <v>19343.47</v>
      </c>
      <c r="D58" s="71">
        <v>99618.47</v>
      </c>
      <c r="E58" s="71">
        <v>77620.45</v>
      </c>
      <c r="F58" s="71">
        <v>68677.22</v>
      </c>
      <c r="G58" s="71">
        <v>137604.44</v>
      </c>
      <c r="H58" s="69"/>
      <c r="I58" s="71">
        <v>137354.44</v>
      </c>
      <c r="J58" s="71">
        <v>1071.0</v>
      </c>
      <c r="K58" s="71">
        <v>69510.22</v>
      </c>
      <c r="L58" s="71">
        <v>610799.71</v>
      </c>
    </row>
    <row r="59">
      <c r="A59" s="67" t="str">
        <f t="shared" si="1"/>
        <v>Total 000</v>
      </c>
      <c r="B59" s="68" t="s">
        <v>191</v>
      </c>
      <c r="C59" s="72">
        <v>19343.47</v>
      </c>
      <c r="D59" s="72">
        <v>99618.47</v>
      </c>
      <c r="E59" s="72">
        <v>77620.45</v>
      </c>
      <c r="F59" s="72">
        <v>68677.22</v>
      </c>
      <c r="G59" s="72">
        <v>137604.44</v>
      </c>
      <c r="H59" s="72">
        <v>0.0</v>
      </c>
      <c r="I59" s="72">
        <v>137354.44</v>
      </c>
      <c r="J59" s="72">
        <v>1071.0</v>
      </c>
      <c r="K59" s="72">
        <v>69510.22</v>
      </c>
      <c r="L59" s="72">
        <v>610799.71</v>
      </c>
    </row>
    <row r="60">
      <c r="A60" s="67" t="str">
        <f t="shared" si="1"/>
        <v>0000-6XXX</v>
      </c>
      <c r="B60" s="68" t="s">
        <v>192</v>
      </c>
      <c r="C60" s="69"/>
      <c r="D60" s="69"/>
      <c r="E60" s="69"/>
      <c r="F60" s="69"/>
      <c r="G60" s="69"/>
      <c r="H60" s="69"/>
      <c r="I60" s="69"/>
      <c r="J60" s="70"/>
      <c r="K60" s="70"/>
      <c r="L60" s="70">
        <v>0.0</v>
      </c>
    </row>
    <row r="61">
      <c r="A61" s="67" t="str">
        <f t="shared" si="1"/>
        <v>2331-6361</v>
      </c>
      <c r="B61" s="68" t="s">
        <v>193</v>
      </c>
      <c r="C61" s="71">
        <v>169.4</v>
      </c>
      <c r="D61" s="71">
        <v>169.4</v>
      </c>
      <c r="E61" s="71">
        <v>169.4</v>
      </c>
      <c r="F61" s="71">
        <v>169.4</v>
      </c>
      <c r="G61" s="71">
        <v>169.4</v>
      </c>
      <c r="H61" s="71">
        <v>169.4</v>
      </c>
      <c r="I61" s="73">
        <v>48.0</v>
      </c>
      <c r="J61" s="70"/>
      <c r="K61" s="70"/>
      <c r="L61" s="70">
        <v>1064.4</v>
      </c>
    </row>
    <row r="62">
      <c r="A62" s="67" t="str">
        <f t="shared" si="1"/>
        <v>2542-6319</v>
      </c>
      <c r="B62" s="68" t="s">
        <v>194</v>
      </c>
      <c r="C62" s="69"/>
      <c r="D62" s="71">
        <v>21843.25</v>
      </c>
      <c r="E62" s="71">
        <v>925.0</v>
      </c>
      <c r="F62" s="69"/>
      <c r="G62" s="69"/>
      <c r="H62" s="71">
        <v>425.0</v>
      </c>
      <c r="I62" s="69"/>
      <c r="J62" s="71">
        <v>8000.0</v>
      </c>
      <c r="K62" s="71"/>
      <c r="L62" s="71">
        <v>31193.25</v>
      </c>
    </row>
    <row r="63">
      <c r="A63" s="67" t="str">
        <f t="shared" si="1"/>
        <v>2542-6332</v>
      </c>
      <c r="B63" s="68" t="s">
        <v>195</v>
      </c>
      <c r="C63" s="71">
        <v>32314.2</v>
      </c>
      <c r="D63" s="71">
        <v>150.0</v>
      </c>
      <c r="E63" s="71">
        <v>109.46</v>
      </c>
      <c r="F63" s="71">
        <v>567.34</v>
      </c>
      <c r="G63" s="71">
        <v>28.04</v>
      </c>
      <c r="H63" s="71">
        <v>7946.07</v>
      </c>
      <c r="I63" s="69"/>
      <c r="J63" s="71">
        <v>20.74</v>
      </c>
      <c r="K63" s="71">
        <v>30.0</v>
      </c>
      <c r="L63" s="71">
        <v>41165.85</v>
      </c>
    </row>
    <row r="64">
      <c r="A64" s="67" t="str">
        <f t="shared" si="1"/>
        <v>2542-6411</v>
      </c>
      <c r="B64" s="68" t="s">
        <v>196</v>
      </c>
      <c r="C64" s="71">
        <v>64294.92</v>
      </c>
      <c r="D64" s="71">
        <v>55558.81</v>
      </c>
      <c r="E64" s="71">
        <v>29307.27</v>
      </c>
      <c r="F64" s="71">
        <v>329.81</v>
      </c>
      <c r="G64" s="71">
        <v>504.78</v>
      </c>
      <c r="H64" s="71">
        <v>2925.85</v>
      </c>
      <c r="I64" s="71">
        <v>283.45</v>
      </c>
      <c r="J64" s="71">
        <v>58.48</v>
      </c>
      <c r="K64" s="71">
        <v>2833.55</v>
      </c>
      <c r="L64" s="71">
        <v>156096.92</v>
      </c>
    </row>
    <row r="65">
      <c r="A65" s="67" t="str">
        <f t="shared" si="1"/>
        <v>2546-6319</v>
      </c>
      <c r="B65" s="68" t="s">
        <v>197</v>
      </c>
      <c r="C65" s="69"/>
      <c r="D65" s="69"/>
      <c r="E65" s="69"/>
      <c r="F65" s="71">
        <v>100.0</v>
      </c>
      <c r="G65" s="69"/>
      <c r="H65" s="69"/>
      <c r="I65" s="69"/>
      <c r="J65" s="70"/>
      <c r="K65" s="70"/>
      <c r="L65" s="70">
        <v>100.0</v>
      </c>
    </row>
    <row r="66">
      <c r="A66" s="67" t="str">
        <f t="shared" si="1"/>
        <v>2546-6412</v>
      </c>
      <c r="B66" s="68" t="s">
        <v>198</v>
      </c>
      <c r="C66" s="71">
        <v>2781.0</v>
      </c>
      <c r="D66" s="69"/>
      <c r="E66" s="69"/>
      <c r="F66" s="69"/>
      <c r="G66" s="69"/>
      <c r="H66" s="69"/>
      <c r="I66" s="69"/>
      <c r="J66" s="70"/>
      <c r="K66" s="70"/>
      <c r="L66" s="70">
        <v>2781.0</v>
      </c>
    </row>
    <row r="67">
      <c r="A67" s="67" t="str">
        <f t="shared" si="1"/>
        <v>Total 000</v>
      </c>
      <c r="B67" s="68" t="s">
        <v>199</v>
      </c>
      <c r="C67" s="72">
        <v>99559.52</v>
      </c>
      <c r="D67" s="72">
        <v>77721.46</v>
      </c>
      <c r="E67" s="72">
        <v>30511.13</v>
      </c>
      <c r="F67" s="72">
        <v>1166.55</v>
      </c>
      <c r="G67" s="72">
        <v>702.22</v>
      </c>
      <c r="H67" s="72">
        <v>11466.32</v>
      </c>
      <c r="I67" s="72">
        <v>331.45</v>
      </c>
      <c r="J67" s="72">
        <v>8079.22</v>
      </c>
      <c r="K67" s="72">
        <v>2863.55</v>
      </c>
      <c r="L67" s="72">
        <v>232401.42</v>
      </c>
    </row>
    <row r="68">
      <c r="A68" s="67" t="str">
        <f t="shared" si="1"/>
        <v>0000-6XXX</v>
      </c>
      <c r="B68" s="68" t="s">
        <v>200</v>
      </c>
      <c r="C68" s="69"/>
      <c r="D68" s="69"/>
      <c r="E68" s="69"/>
      <c r="F68" s="69"/>
      <c r="G68" s="69"/>
      <c r="H68" s="69"/>
      <c r="I68" s="69"/>
      <c r="J68" s="70"/>
      <c r="K68" s="70"/>
      <c r="L68" s="70">
        <v>0.0</v>
      </c>
    </row>
    <row r="69">
      <c r="A69" s="67" t="str">
        <f t="shared" si="1"/>
        <v>1131-6319</v>
      </c>
      <c r="B69" s="68" t="s">
        <v>201</v>
      </c>
      <c r="C69" s="71">
        <v>57108.68</v>
      </c>
      <c r="D69" s="71">
        <v>34607.81</v>
      </c>
      <c r="E69" s="71">
        <v>35839.74</v>
      </c>
      <c r="F69" s="71">
        <v>49022.78</v>
      </c>
      <c r="G69" s="71">
        <v>44235.29</v>
      </c>
      <c r="H69" s="71">
        <v>58722.16</v>
      </c>
      <c r="I69" s="71">
        <v>50116.67</v>
      </c>
      <c r="J69" s="71">
        <v>41230.0</v>
      </c>
      <c r="K69" s="71">
        <v>42057.47</v>
      </c>
      <c r="L69" s="71">
        <v>412940.6</v>
      </c>
    </row>
    <row r="70">
      <c r="A70" s="67" t="str">
        <f t="shared" si="1"/>
        <v>1131-6337</v>
      </c>
      <c r="B70" s="68" t="s">
        <v>202</v>
      </c>
      <c r="C70" s="71">
        <v>25336.0</v>
      </c>
      <c r="D70" s="71">
        <v>1100.0</v>
      </c>
      <c r="E70" s="69"/>
      <c r="F70" s="69"/>
      <c r="G70" s="69"/>
      <c r="H70" s="71">
        <v>1108.8</v>
      </c>
      <c r="I70" s="69"/>
      <c r="J70" s="70"/>
      <c r="K70" s="70"/>
      <c r="L70" s="70">
        <v>27544.8</v>
      </c>
    </row>
    <row r="71">
      <c r="A71" s="67" t="str">
        <f t="shared" si="1"/>
        <v>1131-6411</v>
      </c>
      <c r="B71" s="68" t="s">
        <v>203</v>
      </c>
      <c r="C71" s="71">
        <v>24.85</v>
      </c>
      <c r="D71" s="71">
        <v>74.74</v>
      </c>
      <c r="E71" s="71">
        <v>2301.25</v>
      </c>
      <c r="F71" s="71">
        <v>270.59</v>
      </c>
      <c r="G71" s="71">
        <v>258.88</v>
      </c>
      <c r="H71" s="71">
        <v>217.07</v>
      </c>
      <c r="I71" s="73">
        <v>60.0</v>
      </c>
      <c r="J71" s="71">
        <v>932.8</v>
      </c>
      <c r="K71" s="71">
        <v>2408.67</v>
      </c>
      <c r="L71" s="71">
        <v>6548.85</v>
      </c>
    </row>
    <row r="72">
      <c r="A72" s="67" t="str">
        <f t="shared" si="1"/>
        <v>1131-6412</v>
      </c>
      <c r="B72" s="68" t="s">
        <v>204</v>
      </c>
      <c r="C72" s="71">
        <v>66376.65</v>
      </c>
      <c r="D72" s="71">
        <v>75.9</v>
      </c>
      <c r="E72" s="71">
        <v>172.1</v>
      </c>
      <c r="F72" s="69"/>
      <c r="G72" s="71">
        <v>10.99</v>
      </c>
      <c r="H72" s="71">
        <v>3107.24</v>
      </c>
      <c r="I72" s="71">
        <v>276.29</v>
      </c>
      <c r="J72" s="71">
        <v>1661.78</v>
      </c>
      <c r="K72" s="71">
        <v>10625.8</v>
      </c>
      <c r="L72" s="71">
        <v>82306.75</v>
      </c>
    </row>
    <row r="73">
      <c r="A73" s="67" t="str">
        <f t="shared" si="1"/>
        <v>1131-6431</v>
      </c>
      <c r="B73" s="68" t="s">
        <v>205</v>
      </c>
      <c r="C73" s="69"/>
      <c r="D73" s="71">
        <v>2512.09</v>
      </c>
      <c r="E73" s="69"/>
      <c r="F73" s="71">
        <v>43.52</v>
      </c>
      <c r="G73" s="71">
        <v>3215.85</v>
      </c>
      <c r="H73" s="69"/>
      <c r="I73" s="71">
        <v>454.88</v>
      </c>
      <c r="J73" s="70"/>
      <c r="K73" s="71">
        <v>2319.0</v>
      </c>
      <c r="L73" s="71">
        <v>8545.34</v>
      </c>
    </row>
    <row r="74">
      <c r="A74" s="67" t="str">
        <f t="shared" si="1"/>
        <v>1221-6319</v>
      </c>
      <c r="B74" s="68" t="s">
        <v>206</v>
      </c>
      <c r="C74" s="71">
        <v>28271.54</v>
      </c>
      <c r="D74" s="71">
        <v>24204.68</v>
      </c>
      <c r="E74" s="71">
        <v>24204.68</v>
      </c>
      <c r="F74" s="71">
        <v>28652.82</v>
      </c>
      <c r="G74" s="71">
        <v>28446.64</v>
      </c>
      <c r="H74" s="71">
        <v>29417.3</v>
      </c>
      <c r="I74" s="71">
        <v>21301.41</v>
      </c>
      <c r="J74" s="71">
        <v>29018.75</v>
      </c>
      <c r="K74" s="71">
        <v>28160.0</v>
      </c>
      <c r="L74" s="71">
        <v>241677.82</v>
      </c>
    </row>
    <row r="75">
      <c r="A75" s="67" t="str">
        <f t="shared" si="1"/>
        <v>1221-6411</v>
      </c>
      <c r="B75" s="68" t="s">
        <v>207</v>
      </c>
      <c r="C75" s="69"/>
      <c r="D75" s="69"/>
      <c r="E75" s="71">
        <v>398.65</v>
      </c>
      <c r="F75" s="69"/>
      <c r="G75" s="69"/>
      <c r="H75" s="69"/>
      <c r="I75" s="71">
        <v>94.6</v>
      </c>
      <c r="J75" s="71">
        <v>170.01</v>
      </c>
      <c r="K75" s="71">
        <v>1278.63</v>
      </c>
      <c r="L75" s="71">
        <v>1941.89</v>
      </c>
    </row>
    <row r="76">
      <c r="A76" s="67" t="str">
        <f t="shared" si="1"/>
        <v>1411-6319</v>
      </c>
      <c r="B76" s="68" t="s">
        <v>208</v>
      </c>
      <c r="C76" s="71">
        <v>3327.44</v>
      </c>
      <c r="D76" s="71">
        <v>5228.55</v>
      </c>
      <c r="E76" s="71">
        <v>2228.55</v>
      </c>
      <c r="F76" s="71">
        <v>5701.56</v>
      </c>
      <c r="G76" s="71">
        <v>1999.74</v>
      </c>
      <c r="H76" s="71">
        <v>7319.58</v>
      </c>
      <c r="I76" s="71">
        <v>2089.37</v>
      </c>
      <c r="J76" s="71">
        <v>19451.93</v>
      </c>
      <c r="K76" s="71">
        <v>25099.0</v>
      </c>
      <c r="L76" s="71">
        <v>72445.72</v>
      </c>
    </row>
    <row r="77">
      <c r="A77" s="67" t="str">
        <f t="shared" si="1"/>
        <v>1411-6411</v>
      </c>
      <c r="B77" s="68" t="s">
        <v>209</v>
      </c>
      <c r="C77" s="71">
        <v>105.21</v>
      </c>
      <c r="D77" s="71">
        <v>133.13</v>
      </c>
      <c r="E77" s="71">
        <v>939.56</v>
      </c>
      <c r="F77" s="71">
        <v>1740.7</v>
      </c>
      <c r="G77" s="71">
        <v>934.31</v>
      </c>
      <c r="H77" s="71">
        <v>234.51</v>
      </c>
      <c r="I77" s="71">
        <v>189.13</v>
      </c>
      <c r="J77" s="71">
        <v>518.2</v>
      </c>
      <c r="K77" s="71">
        <v>2090.25</v>
      </c>
      <c r="L77" s="71">
        <v>6885.0</v>
      </c>
    </row>
    <row r="78">
      <c r="A78" s="67" t="str">
        <f t="shared" si="1"/>
        <v>1913-6319</v>
      </c>
      <c r="B78" s="68" t="s">
        <v>210</v>
      </c>
      <c r="C78" s="70"/>
      <c r="D78" s="70"/>
      <c r="E78" s="70"/>
      <c r="F78" s="70"/>
      <c r="G78" s="70"/>
      <c r="H78" s="70"/>
      <c r="I78" s="71">
        <v>4604.83</v>
      </c>
      <c r="J78" s="71">
        <v>3029.43</v>
      </c>
      <c r="K78" s="71"/>
      <c r="L78" s="71">
        <v>7634.26</v>
      </c>
    </row>
    <row r="79">
      <c r="A79" s="67" t="str">
        <f t="shared" si="1"/>
        <v>2142-6319</v>
      </c>
      <c r="B79" s="68" t="s">
        <v>211</v>
      </c>
      <c r="C79" s="71">
        <v>1925.0</v>
      </c>
      <c r="D79" s="71">
        <v>2285.0</v>
      </c>
      <c r="E79" s="71">
        <v>2669.11</v>
      </c>
      <c r="F79" s="71">
        <v>1377.5</v>
      </c>
      <c r="G79" s="71">
        <v>2745.54</v>
      </c>
      <c r="H79" s="71">
        <v>423.5</v>
      </c>
      <c r="I79" s="71">
        <v>3212.0</v>
      </c>
      <c r="J79" s="71">
        <v>430.0</v>
      </c>
      <c r="K79" s="71">
        <v>346.5</v>
      </c>
      <c r="L79" s="71">
        <v>15414.15</v>
      </c>
    </row>
    <row r="80">
      <c r="A80" s="67" t="str">
        <f t="shared" si="1"/>
        <v>2152-6319</v>
      </c>
      <c r="B80" s="68" t="s">
        <v>212</v>
      </c>
      <c r="C80" s="71">
        <v>412.5</v>
      </c>
      <c r="D80" s="71">
        <v>2200.0</v>
      </c>
      <c r="E80" s="71">
        <v>2983.8</v>
      </c>
      <c r="F80" s="71">
        <v>6184.39</v>
      </c>
      <c r="G80" s="71">
        <v>3662.74</v>
      </c>
      <c r="H80" s="71">
        <v>3300.0</v>
      </c>
      <c r="I80" s="71">
        <v>3300.0</v>
      </c>
      <c r="J80" s="71">
        <v>1650.0</v>
      </c>
      <c r="K80" s="71">
        <v>6105.0</v>
      </c>
      <c r="L80" s="71">
        <v>29798.43</v>
      </c>
    </row>
    <row r="81">
      <c r="A81" s="67" t="str">
        <f t="shared" si="1"/>
        <v>2162-6319</v>
      </c>
      <c r="B81" s="68" t="s">
        <v>213</v>
      </c>
      <c r="C81" s="71">
        <v>618.75</v>
      </c>
      <c r="D81" s="71">
        <v>1655.33</v>
      </c>
      <c r="E81" s="71">
        <v>741.0</v>
      </c>
      <c r="F81" s="71">
        <v>6987.19</v>
      </c>
      <c r="G81" s="71">
        <v>1197.9</v>
      </c>
      <c r="H81" s="71">
        <v>2985.66</v>
      </c>
      <c r="I81" s="71">
        <v>1001.0</v>
      </c>
      <c r="J81" s="71">
        <v>2002.0</v>
      </c>
      <c r="K81" s="71">
        <v>2894.67</v>
      </c>
      <c r="L81" s="71">
        <v>20083.5</v>
      </c>
    </row>
    <row r="82">
      <c r="A82" s="67" t="str">
        <f t="shared" si="1"/>
        <v>2191-6319</v>
      </c>
      <c r="B82" s="68" t="s">
        <v>214</v>
      </c>
      <c r="C82" s="71">
        <v>8801.12</v>
      </c>
      <c r="D82" s="71">
        <v>7907.73</v>
      </c>
      <c r="E82" s="71">
        <v>7907.73</v>
      </c>
      <c r="F82" s="71">
        <v>9382.29</v>
      </c>
      <c r="G82" s="71">
        <v>11035.33</v>
      </c>
      <c r="H82" s="71">
        <v>15455.86</v>
      </c>
      <c r="I82" s="71">
        <v>9411.78</v>
      </c>
      <c r="J82" s="71">
        <v>22000.0</v>
      </c>
      <c r="K82" s="71">
        <v>22000.0</v>
      </c>
      <c r="L82" s="71">
        <v>113901.84</v>
      </c>
    </row>
    <row r="83">
      <c r="A83" s="67" t="str">
        <f t="shared" si="1"/>
        <v>2211-6319</v>
      </c>
      <c r="B83" s="68" t="s">
        <v>215</v>
      </c>
      <c r="C83" s="72">
        <v>31500.34</v>
      </c>
      <c r="D83" s="72">
        <v>21447.68</v>
      </c>
      <c r="E83" s="72">
        <v>21563.19</v>
      </c>
      <c r="F83" s="72">
        <v>25695.58</v>
      </c>
      <c r="G83" s="72">
        <v>21717.68</v>
      </c>
      <c r="H83" s="72">
        <v>26990.12</v>
      </c>
      <c r="I83" s="72">
        <v>21759.97</v>
      </c>
      <c r="J83" s="72">
        <v>30800.0</v>
      </c>
      <c r="K83" s="72">
        <v>30800.0</v>
      </c>
      <c r="L83" s="72">
        <v>232274.56</v>
      </c>
    </row>
    <row r="84">
      <c r="A84" s="67" t="str">
        <f t="shared" si="1"/>
        <v>Total 000</v>
      </c>
      <c r="B84" s="68" t="s">
        <v>216</v>
      </c>
      <c r="C84" s="73">
        <v>223808.08</v>
      </c>
      <c r="D84" s="73">
        <v>103432.64</v>
      </c>
      <c r="E84" s="73">
        <v>101949.36</v>
      </c>
      <c r="F84" s="73">
        <v>135058.92</v>
      </c>
      <c r="G84" s="73">
        <v>119460.89</v>
      </c>
      <c r="H84" s="73">
        <v>149281.8</v>
      </c>
      <c r="I84" s="73">
        <v>117871.93</v>
      </c>
      <c r="J84" s="71">
        <v>152894.9</v>
      </c>
      <c r="K84" s="71">
        <v>176184.99</v>
      </c>
      <c r="L84" s="71">
        <v>1279943.51</v>
      </c>
    </row>
    <row r="85">
      <c r="A85" s="67" t="str">
        <f t="shared" si="1"/>
        <v>0000-6XXX</v>
      </c>
      <c r="B85" s="68" t="s">
        <v>217</v>
      </c>
      <c r="C85" s="70"/>
      <c r="D85" s="70"/>
      <c r="E85" s="70"/>
      <c r="F85" s="70"/>
      <c r="G85" s="70"/>
      <c r="H85" s="70"/>
      <c r="I85" s="70"/>
      <c r="J85" s="70"/>
      <c r="K85" s="70"/>
      <c r="L85" s="70">
        <v>0.0</v>
      </c>
    </row>
    <row r="86">
      <c r="A86" s="67" t="str">
        <f t="shared" si="1"/>
        <v>2134-6411</v>
      </c>
      <c r="B86" s="68" t="s">
        <v>218</v>
      </c>
      <c r="C86" s="71">
        <v>38.04</v>
      </c>
      <c r="D86" s="71">
        <v>59.95</v>
      </c>
      <c r="E86" s="73">
        <v>168.6</v>
      </c>
      <c r="F86" s="73">
        <v>283.59</v>
      </c>
      <c r="G86" s="73">
        <v>123.0</v>
      </c>
      <c r="H86" s="73">
        <v>1138.13</v>
      </c>
      <c r="I86" s="71">
        <v>231.96</v>
      </c>
      <c r="J86" s="70"/>
      <c r="K86" s="71">
        <v>339.47</v>
      </c>
      <c r="L86" s="71">
        <v>2382.74</v>
      </c>
    </row>
    <row r="87">
      <c r="A87" s="67" t="str">
        <f t="shared" si="1"/>
        <v>2562-6319</v>
      </c>
      <c r="B87" s="68" t="s">
        <v>219</v>
      </c>
      <c r="C87" s="71">
        <v>7.0</v>
      </c>
      <c r="D87" s="71">
        <v>234.0</v>
      </c>
      <c r="E87" s="70"/>
      <c r="F87" s="70"/>
      <c r="G87" s="70"/>
      <c r="H87" s="70"/>
      <c r="I87" s="71">
        <v>21.0</v>
      </c>
      <c r="J87" s="70"/>
      <c r="K87" s="70"/>
      <c r="L87" s="70">
        <v>262.0</v>
      </c>
    </row>
    <row r="88">
      <c r="A88" s="67" t="str">
        <f t="shared" si="1"/>
        <v>2562-6411</v>
      </c>
      <c r="B88" s="68" t="s">
        <v>220</v>
      </c>
      <c r="C88" s="71">
        <v>63.05</v>
      </c>
      <c r="D88" s="73">
        <v>113.85</v>
      </c>
      <c r="E88" s="73">
        <v>25.44</v>
      </c>
      <c r="F88" s="71">
        <v>123.39</v>
      </c>
      <c r="G88" s="71">
        <v>715.71</v>
      </c>
      <c r="H88" s="71">
        <v>2480.74</v>
      </c>
      <c r="I88" s="73">
        <v>-104.75</v>
      </c>
      <c r="J88" s="71">
        <v>40.79</v>
      </c>
      <c r="K88" s="71">
        <v>294.27</v>
      </c>
      <c r="L88" s="71">
        <v>3752.49</v>
      </c>
    </row>
    <row r="89">
      <c r="A89" s="67" t="str">
        <f t="shared" si="1"/>
        <v>2563-6319</v>
      </c>
      <c r="B89" s="68" t="s">
        <v>221</v>
      </c>
      <c r="C89" s="71">
        <v>585.0</v>
      </c>
      <c r="D89" s="69"/>
      <c r="E89" s="69"/>
      <c r="F89" s="71">
        <v>1215.0</v>
      </c>
      <c r="G89" s="71">
        <v>855.0</v>
      </c>
      <c r="H89" s="71">
        <v>1215.0</v>
      </c>
      <c r="I89" s="69"/>
      <c r="J89" s="70"/>
      <c r="K89" s="71">
        <v>602.55</v>
      </c>
      <c r="L89" s="71">
        <v>4472.55</v>
      </c>
    </row>
    <row r="90">
      <c r="A90" s="67" t="str">
        <f t="shared" si="1"/>
        <v>2563-6391</v>
      </c>
      <c r="B90" s="68" t="s">
        <v>222</v>
      </c>
      <c r="C90" s="71">
        <v>6572.74</v>
      </c>
      <c r="D90" s="70"/>
      <c r="E90" s="70"/>
      <c r="F90" s="71">
        <v>17188.33</v>
      </c>
      <c r="G90" s="71">
        <v>9916.15</v>
      </c>
      <c r="H90" s="71">
        <v>14199.75</v>
      </c>
      <c r="I90" s="70"/>
      <c r="J90" s="70"/>
      <c r="K90" s="71">
        <v>6026.09</v>
      </c>
      <c r="L90" s="71">
        <v>53903.06</v>
      </c>
    </row>
    <row r="91">
      <c r="A91" s="67" t="str">
        <f t="shared" si="1"/>
        <v>2911-6319</v>
      </c>
      <c r="B91" s="68" t="s">
        <v>223</v>
      </c>
      <c r="C91" s="72">
        <v>18355.68</v>
      </c>
      <c r="D91" s="72">
        <v>16153.24</v>
      </c>
      <c r="E91" s="72">
        <v>16186.78</v>
      </c>
      <c r="F91" s="72">
        <v>18028.49</v>
      </c>
      <c r="G91" s="72">
        <v>15948.0</v>
      </c>
      <c r="H91" s="72">
        <v>21756.12</v>
      </c>
      <c r="I91" s="72">
        <v>17173.95</v>
      </c>
      <c r="J91" s="72">
        <v>18480.0</v>
      </c>
      <c r="K91" s="72">
        <v>18480.0</v>
      </c>
      <c r="L91" s="72">
        <v>160562.26</v>
      </c>
    </row>
    <row r="92">
      <c r="A92" s="67" t="str">
        <f t="shared" si="1"/>
        <v>Total 000</v>
      </c>
      <c r="B92" s="68" t="s">
        <v>224</v>
      </c>
      <c r="C92" s="73">
        <v>25621.51</v>
      </c>
      <c r="D92" s="73">
        <v>16561.04</v>
      </c>
      <c r="E92" s="73">
        <v>16380.82</v>
      </c>
      <c r="F92" s="73">
        <v>36838.8</v>
      </c>
      <c r="G92" s="73">
        <v>27557.86</v>
      </c>
      <c r="H92" s="73">
        <v>40789.74</v>
      </c>
      <c r="I92" s="73">
        <v>17322.16</v>
      </c>
      <c r="J92" s="71">
        <v>18520.79</v>
      </c>
      <c r="K92" s="71">
        <v>25742.38</v>
      </c>
      <c r="L92" s="71">
        <v>225335.1</v>
      </c>
    </row>
    <row r="93">
      <c r="A93" s="67" t="str">
        <f t="shared" si="1"/>
        <v>0000-6XXX</v>
      </c>
      <c r="B93" s="68" t="s">
        <v>225</v>
      </c>
      <c r="C93" s="70"/>
      <c r="D93" s="69"/>
      <c r="E93" s="70"/>
      <c r="F93" s="69"/>
      <c r="G93" s="69"/>
      <c r="H93" s="70"/>
      <c r="I93" s="69"/>
      <c r="J93" s="70"/>
      <c r="K93" s="70"/>
      <c r="L93" s="70">
        <v>0.0</v>
      </c>
    </row>
    <row r="94">
      <c r="A94" s="67" t="str">
        <f t="shared" si="1"/>
        <v>2311-6315</v>
      </c>
      <c r="B94" s="68" t="s">
        <v>226</v>
      </c>
      <c r="C94" s="71">
        <v>10600.0</v>
      </c>
      <c r="D94" s="70"/>
      <c r="E94" s="71">
        <v>9000.0</v>
      </c>
      <c r="F94" s="69"/>
      <c r="G94" s="69"/>
      <c r="H94" s="71">
        <v>1000.0</v>
      </c>
      <c r="I94" s="69"/>
      <c r="J94" s="70"/>
      <c r="K94" s="70"/>
      <c r="L94" s="70">
        <v>20600.0</v>
      </c>
    </row>
    <row r="95">
      <c r="A95" s="67" t="str">
        <f t="shared" si="1"/>
        <v>2311-6317</v>
      </c>
      <c r="B95" s="68" t="s">
        <v>227</v>
      </c>
      <c r="C95" s="71">
        <v>391.44</v>
      </c>
      <c r="D95" s="73">
        <v>286.59</v>
      </c>
      <c r="E95" s="71">
        <v>219.02</v>
      </c>
      <c r="F95" s="70"/>
      <c r="G95" s="70"/>
      <c r="H95" s="71">
        <v>302.9</v>
      </c>
      <c r="I95" s="70"/>
      <c r="J95" s="71">
        <v>1584.0</v>
      </c>
      <c r="K95" s="71">
        <v>7700.0</v>
      </c>
      <c r="L95" s="71">
        <v>10483.95</v>
      </c>
    </row>
    <row r="96">
      <c r="A96" s="67" t="str">
        <f t="shared" si="1"/>
        <v>2311-6352</v>
      </c>
      <c r="B96" s="68" t="s">
        <v>228</v>
      </c>
      <c r="C96" s="71">
        <v>8503.5</v>
      </c>
      <c r="D96" s="70"/>
      <c r="E96" s="71">
        <v>357.0</v>
      </c>
      <c r="F96" s="71">
        <v>774.0</v>
      </c>
      <c r="G96" s="71">
        <v>1074.0</v>
      </c>
      <c r="H96" s="71">
        <v>1074.0</v>
      </c>
      <c r="I96" s="71">
        <v>5353.0</v>
      </c>
      <c r="J96" s="71">
        <v>1074.0</v>
      </c>
      <c r="K96" s="71">
        <v>1074.0</v>
      </c>
      <c r="L96" s="71">
        <v>19283.5</v>
      </c>
    </row>
    <row r="97">
      <c r="A97" s="67" t="str">
        <f t="shared" si="1"/>
        <v>2321-6319</v>
      </c>
      <c r="B97" s="68" t="s">
        <v>229</v>
      </c>
      <c r="C97" s="73">
        <v>66963.11</v>
      </c>
      <c r="D97" s="71">
        <v>39006.59</v>
      </c>
      <c r="E97" s="73">
        <v>39042.12</v>
      </c>
      <c r="F97" s="71">
        <v>66651.46</v>
      </c>
      <c r="G97" s="71">
        <v>38520.21</v>
      </c>
      <c r="H97" s="71">
        <v>347598.7</v>
      </c>
      <c r="I97" s="73">
        <v>44475.01</v>
      </c>
      <c r="J97" s="71">
        <v>141182.99</v>
      </c>
      <c r="K97" s="71">
        <v>-190993.69</v>
      </c>
      <c r="L97" s="71">
        <v>592446.5</v>
      </c>
    </row>
    <row r="98">
      <c r="A98" s="67" t="str">
        <f t="shared" si="1"/>
        <v>2321-6343</v>
      </c>
      <c r="B98" s="68" t="s">
        <v>230</v>
      </c>
      <c r="C98" s="70"/>
      <c r="D98" s="71">
        <v>2.0</v>
      </c>
      <c r="E98" s="69"/>
      <c r="F98" s="73">
        <v>4.0</v>
      </c>
      <c r="G98" s="73">
        <v>12.99</v>
      </c>
      <c r="H98" s="73">
        <v>478.86</v>
      </c>
      <c r="I98" s="69"/>
      <c r="J98" s="71">
        <v>27.52</v>
      </c>
      <c r="K98" s="71"/>
      <c r="L98" s="71">
        <v>525.37</v>
      </c>
    </row>
    <row r="99">
      <c r="A99" s="67" t="str">
        <f t="shared" si="1"/>
        <v>2321-6371</v>
      </c>
      <c r="B99" s="68" t="s">
        <v>231</v>
      </c>
      <c r="C99" s="73">
        <v>2330.0</v>
      </c>
      <c r="D99" s="73">
        <v>750.0</v>
      </c>
      <c r="E99" s="69"/>
      <c r="F99" s="69"/>
      <c r="G99" s="69"/>
      <c r="H99" s="70"/>
      <c r="I99" s="69"/>
      <c r="J99" s="70"/>
      <c r="K99" s="70"/>
      <c r="L99" s="70">
        <v>3080.0</v>
      </c>
    </row>
    <row r="100">
      <c r="A100" s="67" t="str">
        <f t="shared" si="1"/>
        <v>2321-6391</v>
      </c>
      <c r="B100" s="68" t="s">
        <v>232</v>
      </c>
      <c r="C100" s="70"/>
      <c r="D100" s="70"/>
      <c r="E100" s="70"/>
      <c r="F100" s="70"/>
      <c r="G100" s="70"/>
      <c r="H100" s="71">
        <v>47.5</v>
      </c>
      <c r="I100" s="70"/>
      <c r="J100" s="70"/>
      <c r="K100" s="70"/>
      <c r="L100" s="70">
        <v>47.5</v>
      </c>
    </row>
    <row r="101">
      <c r="A101" s="67" t="str">
        <f t="shared" si="1"/>
        <v>2321-6411</v>
      </c>
      <c r="B101" s="68" t="s">
        <v>233</v>
      </c>
      <c r="C101" s="71">
        <v>84.34</v>
      </c>
      <c r="D101" s="73">
        <v>75.51</v>
      </c>
      <c r="E101" s="73">
        <v>16.03</v>
      </c>
      <c r="F101" s="73">
        <v>154.6</v>
      </c>
      <c r="G101" s="73">
        <v>2086.34</v>
      </c>
      <c r="H101" s="73">
        <v>88.95</v>
      </c>
      <c r="I101" s="73">
        <v>57.28</v>
      </c>
      <c r="J101" s="70"/>
      <c r="K101" s="71">
        <v>1555.9</v>
      </c>
      <c r="L101" s="71">
        <v>4118.95</v>
      </c>
    </row>
    <row r="102">
      <c r="A102" s="67" t="str">
        <f t="shared" si="1"/>
        <v>2321-6412</v>
      </c>
      <c r="B102" s="68" t="s">
        <v>234</v>
      </c>
      <c r="C102" s="71">
        <v>201.98</v>
      </c>
      <c r="D102" s="70"/>
      <c r="E102" s="70"/>
      <c r="F102" s="70"/>
      <c r="G102" s="70"/>
      <c r="H102" s="70"/>
      <c r="I102" s="70"/>
      <c r="J102" s="70"/>
      <c r="K102" s="70"/>
      <c r="L102" s="70">
        <v>201.98</v>
      </c>
    </row>
    <row r="103">
      <c r="A103" s="67" t="str">
        <f t="shared" si="1"/>
        <v>2331-6316</v>
      </c>
      <c r="B103" s="68" t="s">
        <v>235</v>
      </c>
      <c r="C103" s="71">
        <v>3435.15</v>
      </c>
      <c r="D103" s="71">
        <v>3443.43</v>
      </c>
      <c r="E103" s="71">
        <v>3420.0</v>
      </c>
      <c r="F103" s="71">
        <v>3454.18</v>
      </c>
      <c r="G103" s="71">
        <v>3437.62</v>
      </c>
      <c r="H103" s="71">
        <v>3457.52</v>
      </c>
      <c r="I103" s="71">
        <v>3157.36</v>
      </c>
      <c r="J103" s="71">
        <v>4274.3</v>
      </c>
      <c r="K103" s="71">
        <v>3064.27</v>
      </c>
      <c r="L103" s="71">
        <v>31143.83</v>
      </c>
    </row>
    <row r="104">
      <c r="A104" s="67" t="str">
        <f t="shared" si="1"/>
        <v>2331-6319</v>
      </c>
      <c r="B104" s="68" t="s">
        <v>236</v>
      </c>
      <c r="C104" s="71">
        <v>47.2</v>
      </c>
      <c r="D104" s="71">
        <v>47.2</v>
      </c>
      <c r="E104" s="71">
        <v>2365.2</v>
      </c>
      <c r="F104" s="71">
        <v>47.2</v>
      </c>
      <c r="G104" s="71">
        <v>47.2</v>
      </c>
      <c r="H104" s="71">
        <v>47.2</v>
      </c>
      <c r="I104" s="71">
        <v>47.2</v>
      </c>
      <c r="J104" s="71">
        <v>47.2</v>
      </c>
      <c r="K104" s="71">
        <v>47.2</v>
      </c>
      <c r="L104" s="71">
        <v>2742.8</v>
      </c>
    </row>
    <row r="105">
      <c r="A105" s="67" t="str">
        <f t="shared" si="1"/>
        <v>2331-6338</v>
      </c>
      <c r="B105" s="68" t="s">
        <v>237</v>
      </c>
      <c r="C105" s="71">
        <v>232.59</v>
      </c>
      <c r="D105" s="73">
        <v>232.59</v>
      </c>
      <c r="E105" s="73">
        <v>429.26</v>
      </c>
      <c r="F105" s="73">
        <v>232.59</v>
      </c>
      <c r="G105" s="73">
        <v>232.59</v>
      </c>
      <c r="H105" s="73">
        <v>873.95</v>
      </c>
      <c r="I105" s="73">
        <v>232.59</v>
      </c>
      <c r="J105" s="71">
        <v>232.59</v>
      </c>
      <c r="K105" s="71">
        <v>600.21</v>
      </c>
      <c r="L105" s="71">
        <v>3298.96</v>
      </c>
    </row>
    <row r="106">
      <c r="A106" s="67" t="str">
        <f t="shared" si="1"/>
        <v>2331-6412</v>
      </c>
      <c r="B106" s="68" t="s">
        <v>238</v>
      </c>
      <c r="C106" s="71">
        <v>6758.02</v>
      </c>
      <c r="D106" s="70"/>
      <c r="E106" s="70"/>
      <c r="F106" s="70"/>
      <c r="G106" s="70"/>
      <c r="H106" s="70"/>
      <c r="I106" s="70"/>
      <c r="J106" s="70"/>
      <c r="K106" s="70"/>
      <c r="L106" s="70">
        <v>6758.02</v>
      </c>
    </row>
    <row r="107">
      <c r="A107" s="67" t="str">
        <f t="shared" si="1"/>
        <v>2511-6319</v>
      </c>
      <c r="B107" s="68" t="s">
        <v>239</v>
      </c>
      <c r="C107" s="72">
        <v>27790.5</v>
      </c>
      <c r="D107" s="72">
        <v>13439.02</v>
      </c>
      <c r="E107" s="72">
        <v>8431.09</v>
      </c>
      <c r="F107" s="72">
        <v>16357.72</v>
      </c>
      <c r="G107" s="72">
        <v>11070.54</v>
      </c>
      <c r="H107" s="72">
        <v>14749.16</v>
      </c>
      <c r="I107" s="72">
        <v>19986.24</v>
      </c>
      <c r="J107" s="72">
        <v>18505.32</v>
      </c>
      <c r="K107" s="72">
        <v>31893.27</v>
      </c>
      <c r="L107" s="72">
        <v>162222.86</v>
      </c>
    </row>
    <row r="108">
      <c r="A108" s="67" t="str">
        <f t="shared" si="1"/>
        <v>Total 000</v>
      </c>
      <c r="B108" s="68" t="s">
        <v>240</v>
      </c>
      <c r="C108" s="73">
        <v>127337.83</v>
      </c>
      <c r="D108" s="73">
        <v>57282.93</v>
      </c>
      <c r="E108" s="73">
        <v>63279.72</v>
      </c>
      <c r="F108" s="73">
        <v>87675.75</v>
      </c>
      <c r="G108" s="73">
        <v>56481.49</v>
      </c>
      <c r="H108" s="73">
        <v>369718.74</v>
      </c>
      <c r="I108" s="73">
        <v>73308.68</v>
      </c>
      <c r="J108" s="71">
        <v>166927.92</v>
      </c>
      <c r="K108" s="71">
        <v>-145058.84</v>
      </c>
      <c r="L108" s="71">
        <v>856954.22</v>
      </c>
    </row>
    <row r="109">
      <c r="A109" s="67" t="str">
        <f t="shared" si="1"/>
        <v>0000-6XXX</v>
      </c>
      <c r="B109" s="68" t="s">
        <v>241</v>
      </c>
      <c r="C109" s="70"/>
      <c r="D109" s="69"/>
      <c r="E109" s="69"/>
      <c r="F109" s="69"/>
      <c r="G109" s="69"/>
      <c r="H109" s="69"/>
      <c r="I109" s="69"/>
      <c r="J109" s="70"/>
      <c r="K109" s="70"/>
      <c r="L109" s="70">
        <v>0.0</v>
      </c>
    </row>
    <row r="110">
      <c r="A110" s="67" t="str">
        <f t="shared" si="1"/>
        <v>2551-6319</v>
      </c>
      <c r="B110" s="68" t="s">
        <v>242</v>
      </c>
      <c r="C110" s="71">
        <v>3750.0</v>
      </c>
      <c r="D110" s="69"/>
      <c r="E110" s="69"/>
      <c r="F110" s="70"/>
      <c r="G110" s="70"/>
      <c r="H110" s="70"/>
      <c r="I110" s="69"/>
      <c r="J110" s="70"/>
      <c r="K110" s="70"/>
      <c r="L110" s="70">
        <v>3750.0</v>
      </c>
    </row>
    <row r="111">
      <c r="A111" s="67" t="str">
        <f t="shared" si="1"/>
        <v>2551-6341</v>
      </c>
      <c r="B111" s="68" t="s">
        <v>243</v>
      </c>
      <c r="C111" s="72">
        <v>1463.98</v>
      </c>
      <c r="D111" s="74"/>
      <c r="E111" s="74"/>
      <c r="F111" s="72">
        <v>66.5</v>
      </c>
      <c r="G111" s="72">
        <v>17.5</v>
      </c>
      <c r="H111" s="72">
        <v>78.0</v>
      </c>
      <c r="I111" s="74"/>
      <c r="J111" s="74"/>
      <c r="K111" s="74"/>
      <c r="L111" s="74">
        <v>1625.98</v>
      </c>
    </row>
    <row r="112">
      <c r="A112" s="67" t="str">
        <f t="shared" si="1"/>
        <v>Total 000</v>
      </c>
      <c r="B112" s="68" t="s">
        <v>244</v>
      </c>
      <c r="C112" s="73">
        <v>5213.98</v>
      </c>
      <c r="D112" s="73">
        <v>0.0</v>
      </c>
      <c r="E112" s="73">
        <v>0.0</v>
      </c>
      <c r="F112" s="71">
        <v>66.5</v>
      </c>
      <c r="G112" s="71">
        <v>17.5</v>
      </c>
      <c r="H112" s="71">
        <v>78.0</v>
      </c>
      <c r="I112" s="71">
        <v>0.0</v>
      </c>
      <c r="J112" s="71">
        <v>0.0</v>
      </c>
      <c r="K112" s="71">
        <v>0.0</v>
      </c>
      <c r="L112" s="71">
        <v>5375.98</v>
      </c>
    </row>
    <row r="113">
      <c r="A113" s="67" t="str">
        <f t="shared" si="1"/>
        <v>PayPal Fe</v>
      </c>
      <c r="B113" s="68" t="s">
        <v>245</v>
      </c>
      <c r="C113" s="74"/>
      <c r="D113" s="74"/>
      <c r="E113" s="74"/>
      <c r="F113" s="72">
        <v>2.44</v>
      </c>
      <c r="G113" s="72">
        <v>5.05</v>
      </c>
      <c r="H113" s="72">
        <v>1.5</v>
      </c>
      <c r="I113" s="72">
        <v>1.24</v>
      </c>
      <c r="J113" s="72">
        <v>5.83</v>
      </c>
      <c r="K113" s="72">
        <v>4.79</v>
      </c>
      <c r="L113" s="72">
        <v>20.85</v>
      </c>
    </row>
    <row r="114">
      <c r="A114" s="67" t="str">
        <f t="shared" si="1"/>
        <v>Total Exp</v>
      </c>
      <c r="B114" s="68" t="s">
        <v>246</v>
      </c>
      <c r="C114" s="72">
        <v>724656.8</v>
      </c>
      <c r="D114" s="72">
        <v>536691.36</v>
      </c>
      <c r="E114" s="72">
        <v>468648.02</v>
      </c>
      <c r="F114" s="72">
        <v>550163.73</v>
      </c>
      <c r="G114" s="72">
        <v>539126.23</v>
      </c>
      <c r="H114" s="72">
        <v>1136893.14</v>
      </c>
      <c r="I114" s="72">
        <v>519659.1</v>
      </c>
      <c r="J114" s="72">
        <v>524130.48</v>
      </c>
      <c r="K114" s="72">
        <v>318411.34</v>
      </c>
      <c r="L114" s="72">
        <v>5318380.2</v>
      </c>
    </row>
    <row r="115">
      <c r="A115" s="67" t="str">
        <f t="shared" si="1"/>
        <v>Net Opera</v>
      </c>
      <c r="B115" s="68" t="s">
        <v>247</v>
      </c>
      <c r="C115" s="72">
        <v>-307441.21</v>
      </c>
      <c r="D115" s="72">
        <v>-196662.64</v>
      </c>
      <c r="E115" s="72">
        <v>-79178.9</v>
      </c>
      <c r="F115" s="72">
        <v>671178.63</v>
      </c>
      <c r="G115" s="72">
        <v>102992.56</v>
      </c>
      <c r="H115" s="72">
        <v>-191737.15</v>
      </c>
      <c r="I115" s="72">
        <v>40682.37</v>
      </c>
      <c r="J115" s="72">
        <v>-74138.63</v>
      </c>
      <c r="K115" s="72">
        <v>412975.3</v>
      </c>
      <c r="L115" s="72">
        <v>378670.33</v>
      </c>
    </row>
    <row r="116">
      <c r="A116" s="67" t="str">
        <f t="shared" si="1"/>
        <v>Net Reven</v>
      </c>
      <c r="B116" s="68" t="s">
        <v>248</v>
      </c>
      <c r="C116" s="73">
        <v>-307441.21</v>
      </c>
      <c r="D116" s="73">
        <v>-196662.64</v>
      </c>
      <c r="E116" s="73">
        <v>-79178.9</v>
      </c>
      <c r="F116" s="73">
        <v>671178.63</v>
      </c>
      <c r="G116" s="73">
        <v>102992.56</v>
      </c>
      <c r="H116" s="73">
        <v>-191737.15</v>
      </c>
      <c r="I116" s="73">
        <v>40682.37</v>
      </c>
      <c r="J116" s="73">
        <v>-74138.63</v>
      </c>
      <c r="K116" s="73">
        <v>412975.3</v>
      </c>
      <c r="L116" s="73">
        <v>378670.33</v>
      </c>
    </row>
    <row r="117"/>
    <row r="118"/>
    <row r="119">
      <c r="A119" s="75"/>
      <c r="B119" s="75" t="s">
        <v>249</v>
      </c>
    </row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</sheetData>
  <mergeCells count="4">
    <mergeCell ref="B1:J1"/>
    <mergeCell ref="B2:J2"/>
    <mergeCell ref="B3:J3"/>
    <mergeCell ref="B119:J11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65.88"/>
    <col customWidth="1" min="2" max="2" width="17.88"/>
    <col customWidth="1" min="3" max="3" width="17.0"/>
    <col customWidth="1" min="4" max="4" width="16.5"/>
    <col customWidth="1" min="5" max="5" width="17.88"/>
    <col customWidth="1" min="6" max="6" width="10.75"/>
    <col customWidth="1" min="7" max="7" width="20.5"/>
    <col customWidth="1" min="8" max="8" width="9.5"/>
    <col customWidth="1" min="9" max="9" width="3.0"/>
    <col customWidth="1" hidden="1" min="10" max="10" width="13.75"/>
    <col customWidth="1" hidden="1" min="11" max="11" width="7.63"/>
    <col customWidth="1" hidden="1" min="12" max="12" width="3.5"/>
    <col customWidth="1" hidden="1" min="13" max="13" width="13.75"/>
    <col customWidth="1" hidden="1" min="14" max="14" width="7.63"/>
    <col customWidth="1" hidden="1" min="15" max="15" width="3.0"/>
    <col customWidth="1" hidden="1" min="16" max="16" width="13.75"/>
    <col customWidth="1" hidden="1" min="17" max="17" width="33.13"/>
    <col customWidth="1" min="18" max="18" width="47.5"/>
  </cols>
  <sheetData>
    <row r="1">
      <c r="A1" s="76" t="s">
        <v>134</v>
      </c>
      <c r="F1" s="77"/>
      <c r="G1" s="78"/>
      <c r="H1" s="79"/>
      <c r="I1" s="77"/>
      <c r="J1" s="77"/>
      <c r="K1" s="79"/>
      <c r="L1" s="77"/>
      <c r="M1" s="77"/>
      <c r="N1" s="79"/>
      <c r="O1" s="77"/>
      <c r="P1" s="77"/>
      <c r="Q1" s="79"/>
      <c r="R1" s="77"/>
    </row>
    <row r="2">
      <c r="A2" s="76" t="s">
        <v>250</v>
      </c>
      <c r="F2" s="77"/>
      <c r="G2" s="77"/>
      <c r="H2" s="80"/>
      <c r="I2" s="77"/>
      <c r="J2" s="77"/>
      <c r="K2" s="79"/>
      <c r="L2" s="77"/>
      <c r="M2" s="77"/>
      <c r="N2" s="79"/>
      <c r="O2" s="77"/>
      <c r="P2" s="77"/>
      <c r="Q2" s="79"/>
      <c r="R2" s="77"/>
    </row>
    <row r="3">
      <c r="A3" s="76" t="s">
        <v>251</v>
      </c>
      <c r="F3" s="77"/>
      <c r="G3" s="81" t="s">
        <v>252</v>
      </c>
      <c r="L3" s="77"/>
      <c r="M3" s="82" t="s">
        <v>253</v>
      </c>
      <c r="R3" s="77"/>
    </row>
    <row r="4">
      <c r="A4" s="83"/>
      <c r="B4" s="84"/>
      <c r="C4" s="84"/>
      <c r="D4" s="84"/>
      <c r="E4" s="77"/>
      <c r="F4" s="77"/>
      <c r="G4" s="85" t="s">
        <v>254</v>
      </c>
      <c r="H4" s="86">
        <f>2/12</f>
        <v>0.1666666667</v>
      </c>
      <c r="I4" s="77"/>
      <c r="J4" s="85" t="s">
        <v>255</v>
      </c>
      <c r="K4" s="87">
        <v>44985.0</v>
      </c>
      <c r="L4" s="77"/>
      <c r="M4" s="85" t="s">
        <v>254</v>
      </c>
      <c r="N4" s="88">
        <f>(DAYS($Q$4,"07/01/2021")+1)/365</f>
        <v>1</v>
      </c>
      <c r="O4" s="77"/>
      <c r="P4" s="85" t="s">
        <v>255</v>
      </c>
      <c r="Q4" s="87">
        <v>44742.0</v>
      </c>
      <c r="R4" s="77"/>
    </row>
    <row r="5">
      <c r="A5" s="89"/>
      <c r="B5" s="90" t="s">
        <v>256</v>
      </c>
      <c r="C5" s="90" t="s">
        <v>257</v>
      </c>
      <c r="D5" s="90" t="s">
        <v>258</v>
      </c>
      <c r="E5" s="90" t="s">
        <v>137</v>
      </c>
      <c r="F5" s="77"/>
      <c r="G5" s="91" t="s">
        <v>252</v>
      </c>
      <c r="H5" s="92" t="s">
        <v>259</v>
      </c>
      <c r="I5" s="77"/>
      <c r="J5" s="93" t="s">
        <v>19</v>
      </c>
      <c r="K5" s="92" t="s">
        <v>259</v>
      </c>
      <c r="L5" s="77"/>
      <c r="M5" s="91" t="s">
        <v>260</v>
      </c>
      <c r="N5" s="92" t="s">
        <v>259</v>
      </c>
      <c r="O5" s="77"/>
      <c r="P5" s="91" t="s">
        <v>19</v>
      </c>
      <c r="Q5" s="92" t="s">
        <v>259</v>
      </c>
      <c r="R5" s="77"/>
    </row>
    <row r="6">
      <c r="A6" s="94" t="s">
        <v>138</v>
      </c>
      <c r="B6" s="95"/>
      <c r="C6" s="95"/>
      <c r="D6" s="95"/>
      <c r="E6" s="95"/>
      <c r="F6" s="77"/>
      <c r="G6" s="95"/>
      <c r="H6" s="96"/>
      <c r="I6" s="77"/>
      <c r="J6" s="95"/>
      <c r="K6" s="96"/>
      <c r="L6" s="77"/>
      <c r="M6" s="95"/>
      <c r="N6" s="96"/>
      <c r="O6" s="77"/>
      <c r="P6" s="95"/>
      <c r="Q6" s="96"/>
      <c r="R6" s="77"/>
    </row>
    <row r="7">
      <c r="A7" s="94" t="s">
        <v>261</v>
      </c>
      <c r="B7" s="95"/>
      <c r="C7" s="95"/>
      <c r="D7" s="95"/>
      <c r="E7" s="97"/>
      <c r="F7" s="77"/>
      <c r="G7" s="97"/>
      <c r="H7" s="88" t="str">
        <f>IFERROR(E7/G7,"")</f>
        <v/>
      </c>
      <c r="I7" s="77"/>
      <c r="J7" s="97"/>
      <c r="K7" s="88"/>
      <c r="L7" s="77"/>
      <c r="M7" s="97"/>
      <c r="N7" s="88" t="str">
        <f>IFERROR(K7/M7,"")</f>
        <v/>
      </c>
      <c r="O7" s="77"/>
      <c r="P7" s="97"/>
      <c r="Q7" s="88"/>
      <c r="R7" s="77"/>
    </row>
    <row r="8">
      <c r="A8" s="98" t="s">
        <v>262</v>
      </c>
      <c r="B8" s="99">
        <f>77226.1+56458.58</f>
        <v>133684.68</v>
      </c>
      <c r="C8" s="99"/>
      <c r="D8" s="100"/>
      <c r="E8" s="99">
        <f t="shared" ref="E8:E16" si="1">SUM(B8:D8)</f>
        <v>133684.68</v>
      </c>
      <c r="F8" s="101" t="str">
        <f t="shared" ref="F8:F19" si="2">LEFT(TRIM(A8),9)</f>
        <v>0000-5113</v>
      </c>
      <c r="G8" s="99">
        <v>644547.0</v>
      </c>
      <c r="H8" s="102">
        <f t="shared" ref="H8:H17" si="3">IFERROR($E8/G8,"")</f>
        <v>0.2074087382</v>
      </c>
      <c r="I8" s="77"/>
      <c r="J8" s="103">
        <f>IFERROR(__xludf.DUMMYFUNCTION("IFERROR(SUMPRODUCT(FILTER('FY22 Budget'!$F$2:$AC$71,'FY22 Budget'!$C$2:$C$71=$F8),'FY22 Budget'!$F$1:$AC$1&lt;=$K$4),"""")"),262269.0)</f>
        <v>262269</v>
      </c>
      <c r="K8" s="104">
        <f t="shared" ref="K8:K17" si="4">IFERROR($E8/J8,"")</f>
        <v>0.5097235281</v>
      </c>
      <c r="L8" s="105"/>
      <c r="M8" s="103">
        <f>IFNA(VLOOKUP($F8,'FY22 Budget Update'!$C:$E,3,false),0)</f>
        <v>319840.96</v>
      </c>
      <c r="N8" s="104">
        <f>IFERROR($E8/M8,"")</f>
        <v>0.4179723573</v>
      </c>
      <c r="O8" s="77"/>
      <c r="P8" s="106">
        <f>IFERROR(__xludf.DUMMYFUNCTION("IFERROR(SUMPRODUCT(FILTER('FY22 Budget Update'!$F$2:$AC$72,'FY22 Budget Update'!$C$2:$C$72=$F8),'FY22 Budget Update'!$F$1:$AC$1&lt;=$K$4),"""")"),262269.0)</f>
        <v>262269</v>
      </c>
      <c r="Q8" s="102">
        <f t="shared" ref="Q8:Q17" si="5">IFERROR($E8/P8,"")</f>
        <v>0.5097235281</v>
      </c>
      <c r="R8" s="77"/>
    </row>
    <row r="9">
      <c r="A9" s="98" t="s">
        <v>263</v>
      </c>
      <c r="B9" s="99"/>
      <c r="C9" s="99"/>
      <c r="D9" s="100"/>
      <c r="E9" s="99">
        <f t="shared" si="1"/>
        <v>0</v>
      </c>
      <c r="F9" s="101" t="str">
        <f t="shared" si="2"/>
        <v>0000-5141</v>
      </c>
      <c r="G9" s="99"/>
      <c r="H9" s="102" t="str">
        <f t="shared" si="3"/>
        <v/>
      </c>
      <c r="I9" s="77"/>
      <c r="J9" s="103" t="str">
        <f>IFERROR(__xludf.DUMMYFUNCTION("IFERROR(SUMPRODUCT(FILTER('FY22 Budget'!$F$2:$AC$71,'FY22 Budget'!$C$2:$C$71=$F9),'FY22 Budget'!$F$1:$AC$1&lt;=$K$4),"""")"),"")</f>
        <v/>
      </c>
      <c r="K9" s="104" t="str">
        <f t="shared" si="4"/>
        <v/>
      </c>
      <c r="L9" s="105"/>
      <c r="M9" s="103">
        <f>IFNA(VLOOKUP($F9,'FY22 Budget Update'!$C:$E,3,false),0)</f>
        <v>0</v>
      </c>
      <c r="N9" s="104" t="str">
        <f>IFERROR(K9/M9,"")</f>
        <v/>
      </c>
      <c r="O9" s="77"/>
      <c r="P9" s="106" t="str">
        <f>IFERROR(__xludf.DUMMYFUNCTION("IFERROR(SUMPRODUCT(FILTER('FY22 Budget Update'!$F$2:$AC$72,'FY22 Budget Update'!$C$2:$C$72=$F9),'FY22 Budget Update'!$F$1:$AC$1&lt;=$K$4),"""")"),"")</f>
        <v/>
      </c>
      <c r="Q9" s="102" t="str">
        <f t="shared" si="5"/>
        <v/>
      </c>
      <c r="R9" s="77"/>
    </row>
    <row r="10">
      <c r="A10" s="98" t="s">
        <v>264</v>
      </c>
      <c r="B10" s="99"/>
      <c r="C10" s="99"/>
      <c r="D10" s="100"/>
      <c r="E10" s="99">
        <f t="shared" si="1"/>
        <v>0</v>
      </c>
      <c r="F10" s="101" t="str">
        <f t="shared" si="2"/>
        <v>0000-5151</v>
      </c>
      <c r="G10" s="99">
        <v>32821.0</v>
      </c>
      <c r="H10" s="102">
        <f t="shared" si="3"/>
        <v>0</v>
      </c>
      <c r="I10" s="77"/>
      <c r="J10" s="103">
        <f>IFERROR(__xludf.DUMMYFUNCTION("IFERROR(SUMPRODUCT(FILTER('FY22 Budget'!$F$2:$AC$71,'FY22 Budget'!$C$2:$C$71=$F10),'FY22 Budget'!$F$1:$AC$1&lt;=$K$4),"""")"),8519.039999999999)</f>
        <v>8519.04</v>
      </c>
      <c r="K10" s="104">
        <f t="shared" si="4"/>
        <v>0</v>
      </c>
      <c r="L10" s="105"/>
      <c r="M10" s="103">
        <f>IFNA(VLOOKUP($F10,'FY22 Budget Update'!$C:$E,3,false),0)</f>
        <v>8519</v>
      </c>
      <c r="N10" s="104">
        <f>IFERROR($E10/M10,"")</f>
        <v>0</v>
      </c>
      <c r="O10" s="77"/>
      <c r="P10" s="106">
        <f>IFERROR(__xludf.DUMMYFUNCTION("IFERROR(SUMPRODUCT(FILTER('FY22 Budget Update'!$F$2:$AC$72,'FY22 Budget Update'!$C$2:$C$72=$F10),'FY22 Budget Update'!$F$1:$AC$1&lt;=$K$4),"""")"),8519.039999999999)</f>
        <v>8519.04</v>
      </c>
      <c r="Q10" s="102">
        <f t="shared" si="5"/>
        <v>0</v>
      </c>
      <c r="R10" s="77"/>
    </row>
    <row r="11">
      <c r="A11" s="98" t="s">
        <v>265</v>
      </c>
      <c r="B11" s="99"/>
      <c r="C11" s="99"/>
      <c r="D11" s="100"/>
      <c r="E11" s="99">
        <f t="shared" si="1"/>
        <v>0</v>
      </c>
      <c r="F11" s="101" t="str">
        <f t="shared" si="2"/>
        <v>0000-5161</v>
      </c>
      <c r="G11" s="99"/>
      <c r="H11" s="102" t="str">
        <f t="shared" si="3"/>
        <v/>
      </c>
      <c r="I11" s="77"/>
      <c r="J11" s="103" t="str">
        <f>IFERROR(__xludf.DUMMYFUNCTION("IFERROR(SUMPRODUCT(FILTER('FY22 Budget'!$F$2:$AC$71,'FY22 Budget'!$C$2:$C$71=$F11),'FY22 Budget'!$F$1:$AC$1&lt;=$K$4),"""")"),"")</f>
        <v/>
      </c>
      <c r="K11" s="104" t="str">
        <f t="shared" si="4"/>
        <v/>
      </c>
      <c r="L11" s="105"/>
      <c r="M11" s="103">
        <f>IFNA(VLOOKUP($F11,'FY22 Budget Update'!$C:$E,3,false),0)</f>
        <v>0</v>
      </c>
      <c r="N11" s="104" t="str">
        <f>IFERROR(K11/M11,"")</f>
        <v/>
      </c>
      <c r="O11" s="77"/>
      <c r="P11" s="106" t="str">
        <f>IFERROR(__xludf.DUMMYFUNCTION("IFERROR(SUMPRODUCT(FILTER('FY22 Budget Update'!$F$2:$AC$72,'FY22 Budget Update'!$C$2:$C$72=$F11),'FY22 Budget Update'!$F$1:$AC$1&lt;=$K$4),"""")"),"")</f>
        <v/>
      </c>
      <c r="Q11" s="102" t="str">
        <f t="shared" si="5"/>
        <v/>
      </c>
      <c r="R11" s="77"/>
    </row>
    <row r="12">
      <c r="A12" s="98" t="s">
        <v>266</v>
      </c>
      <c r="B12" s="99">
        <v>800.0</v>
      </c>
      <c r="C12" s="99"/>
      <c r="D12" s="100"/>
      <c r="E12" s="99">
        <f t="shared" si="1"/>
        <v>800</v>
      </c>
      <c r="F12" s="101" t="str">
        <f t="shared" si="2"/>
        <v>0000-5171</v>
      </c>
      <c r="G12" s="99">
        <v>0.0</v>
      </c>
      <c r="H12" s="102" t="str">
        <f t="shared" si="3"/>
        <v/>
      </c>
      <c r="I12" s="77"/>
      <c r="J12" s="103">
        <f>IFERROR(__xludf.DUMMYFUNCTION("IFERROR(SUMPRODUCT(FILTER('FY22 Budget'!$F$2:$AC$71,'FY22 Budget'!$C$2:$C$71=$F12),'FY22 Budget'!$F$1:$AC$1&lt;=$K$4),"""")"),6849.96)</f>
        <v>6849.96</v>
      </c>
      <c r="K12" s="104">
        <f t="shared" si="4"/>
        <v>0.1167890031</v>
      </c>
      <c r="L12" s="105"/>
      <c r="M12" s="103">
        <f>IFNA(VLOOKUP($F12,'FY22 Budget Update'!$C:$E,3,false),0)</f>
        <v>6850</v>
      </c>
      <c r="N12" s="104">
        <f>IFERROR($E12/M12,"")</f>
        <v>0.1167883212</v>
      </c>
      <c r="O12" s="77"/>
      <c r="P12" s="106">
        <f>IFERROR(__xludf.DUMMYFUNCTION("IFERROR(SUMPRODUCT(FILTER('FY22 Budget Update'!$F$2:$AC$72,'FY22 Budget Update'!$C$2:$C$72=$F12),'FY22 Budget Update'!$F$1:$AC$1&lt;=$K$4),"""")"),6849.96)</f>
        <v>6849.96</v>
      </c>
      <c r="Q12" s="102">
        <f t="shared" si="5"/>
        <v>0.1167890031</v>
      </c>
      <c r="R12" s="77"/>
    </row>
    <row r="13">
      <c r="A13" s="98" t="s">
        <v>267</v>
      </c>
      <c r="B13" s="99"/>
      <c r="C13" s="99"/>
      <c r="D13" s="77"/>
      <c r="E13" s="99">
        <f t="shared" si="1"/>
        <v>0</v>
      </c>
      <c r="F13" s="101" t="str">
        <f t="shared" si="2"/>
        <v>0000-5172</v>
      </c>
      <c r="G13" s="99"/>
      <c r="H13" s="102" t="str">
        <f t="shared" si="3"/>
        <v/>
      </c>
      <c r="I13" s="77"/>
      <c r="J13" s="103" t="str">
        <f>IFERROR(__xludf.DUMMYFUNCTION("IFERROR(SUMPRODUCT(FILTER('FY22 Budget'!$F$2:$AC$71,'FY22 Budget'!$C$2:$C$71=$F13),'FY22 Budget'!$F$1:$AC$1&lt;=$K$4),"""")"),"")</f>
        <v/>
      </c>
      <c r="K13" s="104" t="str">
        <f t="shared" si="4"/>
        <v/>
      </c>
      <c r="L13" s="105"/>
      <c r="M13" s="103">
        <f>IFNA(VLOOKUP($F13,'FY22 Budget Update'!$C:$E,3,false),0)</f>
        <v>0</v>
      </c>
      <c r="N13" s="104" t="str">
        <f t="shared" ref="N13:N14" si="6">IFERROR(K13/M13,"")</f>
        <v/>
      </c>
      <c r="O13" s="77"/>
      <c r="P13" s="106" t="str">
        <f>IFERROR(__xludf.DUMMYFUNCTION("IFERROR(SUMPRODUCT(FILTER('FY22 Budget Update'!$F$2:$AC$72,'FY22 Budget Update'!$C$2:$C$72=$F13),'FY22 Budget Update'!$F$1:$AC$1&lt;=$K$4),"""")"),"")</f>
        <v/>
      </c>
      <c r="Q13" s="102" t="str">
        <f t="shared" si="5"/>
        <v/>
      </c>
      <c r="R13" s="77"/>
    </row>
    <row r="14">
      <c r="A14" s="98" t="s">
        <v>268</v>
      </c>
      <c r="B14" s="99"/>
      <c r="C14" s="99"/>
      <c r="D14" s="100"/>
      <c r="E14" s="99">
        <f t="shared" si="1"/>
        <v>0</v>
      </c>
      <c r="F14" s="101" t="str">
        <f t="shared" si="2"/>
        <v>0000-5179</v>
      </c>
      <c r="G14" s="99"/>
      <c r="H14" s="102" t="str">
        <f t="shared" si="3"/>
        <v/>
      </c>
      <c r="I14" s="77"/>
      <c r="J14" s="103" t="str">
        <f>IFERROR(__xludf.DUMMYFUNCTION("IFERROR(SUMPRODUCT(FILTER('FY22 Budget'!$F$2:$AC$71,'FY22 Budget'!$C$2:$C$71=$F14),'FY22 Budget'!$F$1:$AC$1&lt;=$K$4),"""")"),"")</f>
        <v/>
      </c>
      <c r="K14" s="104" t="str">
        <f t="shared" si="4"/>
        <v/>
      </c>
      <c r="L14" s="105"/>
      <c r="M14" s="103">
        <f>IFNA(VLOOKUP($F14,'FY22 Budget Update'!$C:$E,3,false),0)</f>
        <v>0</v>
      </c>
      <c r="N14" s="104" t="str">
        <f t="shared" si="6"/>
        <v/>
      </c>
      <c r="O14" s="77"/>
      <c r="P14" s="106" t="str">
        <f>IFERROR(__xludf.DUMMYFUNCTION("IFERROR(SUMPRODUCT(FILTER('FY22 Budget Update'!$F$2:$AC$72,'FY22 Budget Update'!$C$2:$C$72=$F14),'FY22 Budget Update'!$F$1:$AC$1&lt;=$K$4),"""")"),"")</f>
        <v/>
      </c>
      <c r="Q14" s="102" t="str">
        <f t="shared" si="5"/>
        <v/>
      </c>
      <c r="R14" s="77"/>
    </row>
    <row r="15">
      <c r="A15" s="98" t="s">
        <v>269</v>
      </c>
      <c r="B15" s="99">
        <f>14010.43+350</f>
        <v>14360.43</v>
      </c>
      <c r="C15" s="99"/>
      <c r="D15" s="100"/>
      <c r="E15" s="99">
        <f t="shared" si="1"/>
        <v>14360.43</v>
      </c>
      <c r="F15" s="101" t="str">
        <f t="shared" si="2"/>
        <v>0000-5192</v>
      </c>
      <c r="G15" s="99">
        <v>508925.0</v>
      </c>
      <c r="H15" s="102">
        <f t="shared" si="3"/>
        <v>0.02821718328</v>
      </c>
      <c r="I15" s="77"/>
      <c r="J15" s="103">
        <f>IFERROR(__xludf.DUMMYFUNCTION("IFERROR(SUMPRODUCT(FILTER('FY22 Budget'!$F$2:$AC$71,'FY22 Budget'!$C$2:$C$71=$F15),'FY22 Budget'!$F$1:$AC$1&lt;=$K$4),"""")"),425499.96000000014)</f>
        <v>425499.96</v>
      </c>
      <c r="K15" s="104">
        <f t="shared" si="4"/>
        <v>0.03374954489</v>
      </c>
      <c r="L15" s="105"/>
      <c r="M15" s="103">
        <f>IFNA(VLOOKUP($F15,'FY22 Budget Update'!$C:$E,3,false),0)</f>
        <v>562986.93</v>
      </c>
      <c r="N15" s="104">
        <f t="shared" ref="N15:N17" si="7">IFERROR($E15/M15,"")</f>
        <v>0.02550757262</v>
      </c>
      <c r="O15" s="77"/>
      <c r="P15" s="106">
        <f>IFERROR(__xludf.DUMMYFUNCTION("IFERROR(SUMPRODUCT(FILTER('FY22 Budget Update'!$F$2:$AC$72,'FY22 Budget Update'!$C$2:$C$72=$F15),'FY22 Budget Update'!$F$1:$AC$1&lt;=$K$4),"""")"),562986.93)</f>
        <v>562986.93</v>
      </c>
      <c r="Q15" s="102">
        <f t="shared" si="5"/>
        <v>0.02550757262</v>
      </c>
      <c r="R15" s="77"/>
    </row>
    <row r="16">
      <c r="A16" s="98" t="s">
        <v>270</v>
      </c>
      <c r="B16" s="99">
        <f>497.91+1121.62</f>
        <v>1619.53</v>
      </c>
      <c r="C16" s="99"/>
      <c r="D16" s="100"/>
      <c r="E16" s="99">
        <f t="shared" si="1"/>
        <v>1619.53</v>
      </c>
      <c r="F16" s="101" t="str">
        <f t="shared" si="2"/>
        <v>0000-5198</v>
      </c>
      <c r="G16" s="99">
        <v>0.0</v>
      </c>
      <c r="H16" s="102" t="str">
        <f t="shared" si="3"/>
        <v/>
      </c>
      <c r="I16" s="77"/>
      <c r="J16" s="103">
        <f>IFERROR(__xludf.DUMMYFUNCTION("IFERROR(SUMPRODUCT(FILTER('FY22 Budget'!$F$2:$AC$71,'FY22 Budget'!$C$2:$C$71=$F16),'FY22 Budget'!$F$1:$AC$1&lt;=$K$4),"""")"),6941.04)</f>
        <v>6941.04</v>
      </c>
      <c r="K16" s="104">
        <f t="shared" si="4"/>
        <v>0.2333267061</v>
      </c>
      <c r="L16" s="105"/>
      <c r="M16" s="103">
        <f>IFNA(VLOOKUP($F16,'FY22 Budget Update'!$C:$E,3,false),0)</f>
        <v>6941</v>
      </c>
      <c r="N16" s="104">
        <f t="shared" si="7"/>
        <v>0.2333280507</v>
      </c>
      <c r="O16" s="77"/>
      <c r="P16" s="106">
        <f>IFERROR(__xludf.DUMMYFUNCTION("IFERROR(SUMPRODUCT(FILTER('FY22 Budget Update'!$F$2:$AC$72,'FY22 Budget Update'!$C$2:$C$72=$F16),'FY22 Budget Update'!$F$1:$AC$1&lt;=$K$4),"""")"),6941.04)</f>
        <v>6941.04</v>
      </c>
      <c r="Q16" s="102">
        <f t="shared" si="5"/>
        <v>0.2333267061</v>
      </c>
      <c r="R16" s="77"/>
    </row>
    <row r="17">
      <c r="A17" s="98" t="s">
        <v>271</v>
      </c>
      <c r="B17" s="107">
        <f t="shared" ref="B17:E17" si="8">SUM(B8:B16)</f>
        <v>150464.64</v>
      </c>
      <c r="C17" s="107">
        <f t="shared" si="8"/>
        <v>0</v>
      </c>
      <c r="D17" s="107">
        <f t="shared" si="8"/>
        <v>0</v>
      </c>
      <c r="E17" s="107">
        <f t="shared" si="8"/>
        <v>150464.64</v>
      </c>
      <c r="F17" s="101" t="str">
        <f t="shared" si="2"/>
        <v>Total 000</v>
      </c>
      <c r="G17" s="108">
        <f>SUM(G8:G16)</f>
        <v>1186293</v>
      </c>
      <c r="H17" s="109">
        <f t="shared" si="3"/>
        <v>0.126835984</v>
      </c>
      <c r="I17" s="77"/>
      <c r="J17" s="110">
        <f>SUM(J8:J16)</f>
        <v>710079</v>
      </c>
      <c r="K17" s="111">
        <f t="shared" si="4"/>
        <v>0.2118984507</v>
      </c>
      <c r="L17" s="105"/>
      <c r="M17" s="110">
        <f>SUM(M8:M16)</f>
        <v>905137.89</v>
      </c>
      <c r="N17" s="111">
        <f t="shared" si="7"/>
        <v>0.1662339425</v>
      </c>
      <c r="O17" s="77"/>
      <c r="P17" s="108">
        <f>SUM(P8:P16)</f>
        <v>847565.97</v>
      </c>
      <c r="Q17" s="112">
        <f t="shared" si="5"/>
        <v>0.1775255795</v>
      </c>
      <c r="R17" s="77"/>
    </row>
    <row r="18">
      <c r="A18" s="98" t="s">
        <v>272</v>
      </c>
      <c r="B18" s="100"/>
      <c r="C18" s="100"/>
      <c r="D18" s="100"/>
      <c r="E18" s="106"/>
      <c r="F18" s="101" t="str">
        <f t="shared" si="2"/>
        <v>0000-5300</v>
      </c>
      <c r="G18" s="106"/>
      <c r="H18" s="102" t="str">
        <f t="shared" ref="H18:H21" si="9">IFERROR(E18/G18,"")</f>
        <v/>
      </c>
      <c r="I18" s="77"/>
      <c r="J18" s="103"/>
      <c r="K18" s="104"/>
      <c r="L18" s="105"/>
      <c r="M18" s="103"/>
      <c r="N18" s="104" t="str">
        <f>IFERROR(K18/M18,"")</f>
        <v/>
      </c>
      <c r="O18" s="77"/>
      <c r="P18" s="106"/>
      <c r="Q18" s="102"/>
      <c r="R18" s="77"/>
    </row>
    <row r="19">
      <c r="A19" s="98" t="s">
        <v>273</v>
      </c>
      <c r="B19" s="113">
        <f>741684-C19</f>
        <v>208923.81</v>
      </c>
      <c r="C19" s="113">
        <v>532760.19</v>
      </c>
      <c r="D19" s="100"/>
      <c r="E19" s="99">
        <f t="shared" ref="E19:E21" si="10">SUM(B19:D19)</f>
        <v>741684</v>
      </c>
      <c r="F19" s="101" t="str">
        <f t="shared" si="2"/>
        <v>0000-5311</v>
      </c>
      <c r="G19" s="99">
        <v>8064531.0</v>
      </c>
      <c r="H19" s="102">
        <f t="shared" si="9"/>
        <v>0.09196864641</v>
      </c>
      <c r="I19" s="77"/>
      <c r="J19" s="103">
        <f>IFERROR(__xludf.DUMMYFUNCTION("IFERROR(SUMPRODUCT(FILTER('FY22 Budget'!$F$2:$AC$71,'FY22 Budget'!$C$2:$C$71=$F19),'FY22 Budget'!$F$1:$AC$1&lt;=$K$4),"""")"),4161156.0)</f>
        <v>4161156</v>
      </c>
      <c r="K19" s="104">
        <f>IFERROR($E19/J19,"")</f>
        <v>0.178239893</v>
      </c>
      <c r="L19" s="105"/>
      <c r="M19" s="103">
        <f>IFNA(VLOOKUP($F19,'FY22 Budget Update'!$C:$E,3,false),0)</f>
        <v>3936812.378</v>
      </c>
      <c r="N19" s="104">
        <f>IFERROR($E19/M19,"")</f>
        <v>0.188397091</v>
      </c>
      <c r="O19" s="77"/>
      <c r="P19" s="106">
        <f>IFERROR(__xludf.DUMMYFUNCTION("IFERROR(SUMPRODUCT(FILTER('FY22 Budget Update'!$F$2:$AC$72,'FY22 Budget Update'!$C$2:$C$72=$F19),'FY22 Budget Update'!$F$1:$AC$1&lt;=$K$4),"""")"),6662758.378110195)</f>
        <v>6662758.378</v>
      </c>
      <c r="Q19" s="102">
        <f>IFERROR($E19/P19,"")</f>
        <v>0.1113178593</v>
      </c>
      <c r="R19" s="114"/>
    </row>
    <row r="20">
      <c r="A20" s="98" t="s">
        <v>274</v>
      </c>
      <c r="B20" s="113">
        <f>16660.7+16592.32</f>
        <v>33253.02</v>
      </c>
      <c r="C20" s="115"/>
      <c r="D20" s="100"/>
      <c r="E20" s="99">
        <f t="shared" si="10"/>
        <v>33253.02</v>
      </c>
      <c r="F20" s="101" t="s">
        <v>53</v>
      </c>
      <c r="G20" s="99">
        <v>254524.0</v>
      </c>
      <c r="H20" s="102">
        <f t="shared" si="9"/>
        <v>0.130647876</v>
      </c>
      <c r="I20" s="77"/>
      <c r="J20" s="103"/>
      <c r="K20" s="104"/>
      <c r="L20" s="105"/>
      <c r="M20" s="103"/>
      <c r="N20" s="104"/>
      <c r="O20" s="77"/>
      <c r="P20" s="106"/>
      <c r="Q20" s="102"/>
      <c r="R20" s="77"/>
    </row>
    <row r="21">
      <c r="A21" s="116" t="s">
        <v>275</v>
      </c>
      <c r="B21" s="113"/>
      <c r="C21" s="115"/>
      <c r="D21" s="100"/>
      <c r="E21" s="99">
        <f t="shared" si="10"/>
        <v>0</v>
      </c>
      <c r="F21" s="101" t="str">
        <f t="shared" ref="F21:F26" si="12">LEFT(TRIM(A21),9)</f>
        <v>0000-5384</v>
      </c>
      <c r="G21" s="99"/>
      <c r="H21" s="102" t="str">
        <f t="shared" si="9"/>
        <v/>
      </c>
      <c r="I21" s="77"/>
      <c r="J21" s="103" t="str">
        <f>IFERROR(__xludf.DUMMYFUNCTION("IFERROR(SUMPRODUCT(FILTER('FY22 Budget'!$F$2:$AC$71,'FY22 Budget'!$C$2:$C$71=$F21),'FY22 Budget'!$F$1:$AC$1&lt;=$K$4),"""")"),"")</f>
        <v/>
      </c>
      <c r="K21" s="104" t="str">
        <f t="shared" ref="K21:K22" si="13">IFERROR($E21/J21,"")</f>
        <v/>
      </c>
      <c r="L21" s="105"/>
      <c r="M21" s="103">
        <f>IFNA(VLOOKUP($F21,'FY22 Budget Update'!$C:$E,3,false),0)</f>
        <v>0</v>
      </c>
      <c r="N21" s="104" t="str">
        <f t="shared" ref="N21:N22" si="14">IFERROR($E21/M21,"")</f>
        <v/>
      </c>
      <c r="O21" s="77"/>
      <c r="P21" s="106" t="str">
        <f>IFERROR(__xludf.DUMMYFUNCTION("IFERROR(SUMPRODUCT(FILTER('FY22 Budget Update'!$F$2:$AC$72,'FY22 Budget Update'!$C$2:$C$72=$F21),'FY22 Budget Update'!$F$1:$AC$1&lt;=$K$4),"""")"),"")</f>
        <v/>
      </c>
      <c r="Q21" s="102" t="str">
        <f t="shared" ref="Q21:Q22" si="15">IFERROR($E21/P21,"")</f>
        <v/>
      </c>
      <c r="R21" s="77"/>
    </row>
    <row r="22">
      <c r="A22" s="98" t="s">
        <v>276</v>
      </c>
      <c r="B22" s="108">
        <f t="shared" ref="B22:E22" si="11">SUM(B19:B21)</f>
        <v>242176.83</v>
      </c>
      <c r="C22" s="108">
        <f t="shared" si="11"/>
        <v>532760.19</v>
      </c>
      <c r="D22" s="108">
        <f t="shared" si="11"/>
        <v>0</v>
      </c>
      <c r="E22" s="108">
        <f t="shared" si="11"/>
        <v>774937.02</v>
      </c>
      <c r="F22" s="101" t="str">
        <f t="shared" si="12"/>
        <v>Total 000</v>
      </c>
      <c r="G22" s="108">
        <f>SUM(G19:G21)</f>
        <v>8319055</v>
      </c>
      <c r="H22" s="117">
        <f>IFERROR($E22/G22,"")</f>
        <v>0.09315204912</v>
      </c>
      <c r="I22" s="77"/>
      <c r="J22" s="110">
        <f>SUM(J19:J21)</f>
        <v>4161156</v>
      </c>
      <c r="K22" s="111">
        <f t="shared" si="13"/>
        <v>0.1862311867</v>
      </c>
      <c r="L22" s="105"/>
      <c r="M22" s="110">
        <f>SUM(M19:M21)</f>
        <v>3936812.378</v>
      </c>
      <c r="N22" s="111">
        <f t="shared" si="14"/>
        <v>0.1968437775</v>
      </c>
      <c r="O22" s="77"/>
      <c r="P22" s="108">
        <f>SUM(P19:P21)</f>
        <v>6662758.378</v>
      </c>
      <c r="Q22" s="112">
        <f t="shared" si="15"/>
        <v>0.1163087382</v>
      </c>
      <c r="R22" s="77"/>
    </row>
    <row r="23">
      <c r="A23" s="98" t="s">
        <v>277</v>
      </c>
      <c r="B23" s="100"/>
      <c r="C23" s="100"/>
      <c r="D23" s="100"/>
      <c r="E23" s="99"/>
      <c r="F23" s="101" t="str">
        <f t="shared" si="12"/>
        <v>0000-5400</v>
      </c>
      <c r="G23" s="106"/>
      <c r="H23" s="102" t="str">
        <f t="shared" ref="H23:H35" si="16">IFERROR(E23/G23,"")</f>
        <v/>
      </c>
      <c r="I23" s="77"/>
      <c r="J23" s="103"/>
      <c r="K23" s="104"/>
      <c r="L23" s="105"/>
      <c r="M23" s="103"/>
      <c r="N23" s="104" t="str">
        <f>IFERROR(K23/M23,"")</f>
        <v/>
      </c>
      <c r="O23" s="77"/>
      <c r="P23" s="106"/>
      <c r="Q23" s="102"/>
      <c r="R23" s="77"/>
    </row>
    <row r="24">
      <c r="A24" s="98" t="s">
        <v>278</v>
      </c>
      <c r="B24" s="118">
        <f>34410.94+120.33</f>
        <v>34531.27</v>
      </c>
      <c r="C24" s="100"/>
      <c r="D24" s="100"/>
      <c r="E24" s="99">
        <f t="shared" ref="E24:E35" si="17">SUM(B24:D24)</f>
        <v>34531.27</v>
      </c>
      <c r="F24" s="101" t="str">
        <f t="shared" si="12"/>
        <v>0000-5412</v>
      </c>
      <c r="G24" s="99">
        <v>56320.0</v>
      </c>
      <c r="H24" s="102">
        <f t="shared" si="16"/>
        <v>0.6131262429</v>
      </c>
      <c r="I24" s="77"/>
      <c r="J24" s="103">
        <f>IFERROR(__xludf.DUMMYFUNCTION("IFERROR(SUMPRODUCT(FILTER('FY22 Budget'!$F$2:$AC$71,'FY22 Budget'!$C$2:$C$71=$F24),'FY22 Budget'!$F$1:$AC$1&lt;=$K$4),"""")"),59587.68)</f>
        <v>59587.68</v>
      </c>
      <c r="K24" s="104">
        <f t="shared" ref="K24:K26" si="18">IFERROR($E24/J24,"")</f>
        <v>0.5795035148</v>
      </c>
      <c r="L24" s="105"/>
      <c r="M24" s="103">
        <f>IFNA(VLOOKUP($F24,'FY22 Budget Update'!$C:$E,3,false),0)</f>
        <v>16554.9</v>
      </c>
      <c r="N24" s="104">
        <f t="shared" ref="N24:N26" si="19">IFERROR($E24/M24,"")</f>
        <v>2.085864004</v>
      </c>
      <c r="O24" s="77"/>
      <c r="P24" s="106">
        <f>IFERROR(__xludf.DUMMYFUNCTION("IFERROR(SUMPRODUCT(FILTER('FY22 Budget Update'!$F$2:$AC$72,'FY22 Budget Update'!$C$2:$C$72=$F24),'FY22 Budget Update'!$F$1:$AC$1&lt;=$K$4),"""")"),16554.9)</f>
        <v>16554.9</v>
      </c>
      <c r="Q24" s="102">
        <f t="shared" ref="Q24:Q26" si="20">IFERROR($E24/P24,"")</f>
        <v>2.085864004</v>
      </c>
      <c r="R24" s="77"/>
    </row>
    <row r="25">
      <c r="A25" s="116" t="s">
        <v>279</v>
      </c>
      <c r="B25" s="118">
        <f>12076.89</f>
        <v>12076.89</v>
      </c>
      <c r="C25" s="100"/>
      <c r="D25" s="100"/>
      <c r="E25" s="99">
        <f t="shared" si="17"/>
        <v>12076.89</v>
      </c>
      <c r="F25" s="101" t="str">
        <f t="shared" si="12"/>
        <v>0000-5422</v>
      </c>
      <c r="G25" s="99"/>
      <c r="H25" s="102" t="str">
        <f t="shared" si="16"/>
        <v/>
      </c>
      <c r="I25" s="77"/>
      <c r="J25" s="103" t="str">
        <f>IFERROR(__xludf.DUMMYFUNCTION("IFERROR(SUMPRODUCT(FILTER('FY23 Budget'!$F$2:$AC$71,'FY23 Budget'!$C$2:$C$71=$F25),'FY23 Budget'!$F$1:$AC$1&lt;=$K$4),"""")"),"")</f>
        <v/>
      </c>
      <c r="K25" s="104" t="str">
        <f t="shared" si="18"/>
        <v/>
      </c>
      <c r="L25" s="105"/>
      <c r="M25" s="103">
        <f>IFNA(VLOOKUP($F25,'FY22 Budget Update'!$C:$E,3,false),0)</f>
        <v>1423087.864</v>
      </c>
      <c r="N25" s="104">
        <f t="shared" si="19"/>
        <v>0.008486397999</v>
      </c>
      <c r="O25" s="77"/>
      <c r="P25" s="106">
        <f>IFERROR(__xludf.DUMMYFUNCTION("IFERROR(SUMPRODUCT(FILTER('FY22 Budget Update'!$F$2:$AC$72,'FY22 Budget Update'!$C$2:$C$72=$F25),'FY22 Budget Update'!$F$1:$AC$1&lt;=$K$4),"""")"),1423087.86375)</f>
        <v>1423087.864</v>
      </c>
      <c r="Q25" s="102">
        <f t="shared" si="20"/>
        <v>0.008486397999</v>
      </c>
      <c r="R25" s="77"/>
    </row>
    <row r="26">
      <c r="A26" s="116" t="s">
        <v>280</v>
      </c>
      <c r="B26" s="113"/>
      <c r="C26" s="100"/>
      <c r="D26" s="100"/>
      <c r="E26" s="99">
        <f t="shared" si="17"/>
        <v>0</v>
      </c>
      <c r="F26" s="101" t="str">
        <f t="shared" si="12"/>
        <v>0000-5423</v>
      </c>
      <c r="G26" s="99"/>
      <c r="H26" s="102" t="str">
        <f t="shared" si="16"/>
        <v/>
      </c>
      <c r="I26" s="77"/>
      <c r="J26" s="103" t="str">
        <f>IFERROR(__xludf.DUMMYFUNCTION("IFERROR(SUMPRODUCT(FILTER('FY22 Budget'!$F$2:$AC$71,'FY22 Budget'!$C$2:$C$71=$F26),'FY22 Budget'!$F$1:$AC$1&lt;=$K$4),"""")"),"")</f>
        <v/>
      </c>
      <c r="K26" s="104" t="str">
        <f t="shared" si="18"/>
        <v/>
      </c>
      <c r="L26" s="105"/>
      <c r="M26" s="103">
        <f>IFNA(VLOOKUP($F26,'FY22 Budget Update'!$C:$E,3,false),0)</f>
        <v>333253</v>
      </c>
      <c r="N26" s="104">
        <f t="shared" si="19"/>
        <v>0</v>
      </c>
      <c r="O26" s="77"/>
      <c r="P26" s="106">
        <f>IFERROR(__xludf.DUMMYFUNCTION("IFERROR(SUMPRODUCT(FILTER('FY22 Budget Update'!$F$2:$AC$72,'FY22 Budget Update'!$C$2:$C$72=$F26),'FY22 Budget Update'!$F$1:$AC$1&lt;=$K$4),"""")"),333253.0)</f>
        <v>333253</v>
      </c>
      <c r="Q26" s="102">
        <f t="shared" si="20"/>
        <v>0</v>
      </c>
      <c r="R26" s="77"/>
    </row>
    <row r="27">
      <c r="A27" s="116" t="s">
        <v>281</v>
      </c>
      <c r="B27" s="113"/>
      <c r="C27" s="100"/>
      <c r="D27" s="100"/>
      <c r="E27" s="99">
        <f t="shared" si="17"/>
        <v>0</v>
      </c>
      <c r="F27" s="101"/>
      <c r="G27" s="99"/>
      <c r="H27" s="102" t="str">
        <f t="shared" si="16"/>
        <v/>
      </c>
      <c r="I27" s="77"/>
      <c r="J27" s="103"/>
      <c r="K27" s="104"/>
      <c r="L27" s="105"/>
      <c r="M27" s="103"/>
      <c r="N27" s="104"/>
      <c r="O27" s="77"/>
      <c r="P27" s="106"/>
      <c r="Q27" s="102"/>
      <c r="R27" s="77"/>
    </row>
    <row r="28">
      <c r="A28" s="98" t="s">
        <v>282</v>
      </c>
      <c r="B28" s="113"/>
      <c r="C28" s="100"/>
      <c r="D28" s="100"/>
      <c r="E28" s="99">
        <f t="shared" si="17"/>
        <v>0</v>
      </c>
      <c r="F28" s="101" t="str">
        <f t="shared" ref="F28:F40" si="21">LEFT(TRIM(A28),9)</f>
        <v>0000-5441</v>
      </c>
      <c r="G28" s="99">
        <v>147573.0</v>
      </c>
      <c r="H28" s="102">
        <f t="shared" si="16"/>
        <v>0</v>
      </c>
      <c r="I28" s="77"/>
      <c r="J28" s="103">
        <f>IFERROR(__xludf.DUMMYFUNCTION("IFERROR(SUMPRODUCT(FILTER('FY22 Budget'!$F$2:$AC$71,'FY22 Budget'!$C$2:$C$71=$F28),'FY22 Budget'!$F$1:$AC$1&lt;=$K$4),"""")"),70000.0)</f>
        <v>70000</v>
      </c>
      <c r="K28" s="104">
        <f t="shared" ref="K28:K36" si="22">IFERROR($E28/J28,"")</f>
        <v>0</v>
      </c>
      <c r="L28" s="105"/>
      <c r="M28" s="103">
        <f>IFNA(VLOOKUP($F28,'FY22 Budget Update'!$C:$E,3,false),0)</f>
        <v>90645</v>
      </c>
      <c r="N28" s="104">
        <f t="shared" ref="N28:N33" si="23">IFERROR($E28/M28,"")</f>
        <v>0</v>
      </c>
      <c r="O28" s="77"/>
      <c r="P28" s="106">
        <f>IFERROR(__xludf.DUMMYFUNCTION("IFERROR(SUMPRODUCT(FILTER('FY22 Budget Update'!$F$2:$AC$72,'FY22 Budget Update'!$C$2:$C$72=$F28),'FY22 Budget Update'!$F$1:$AC$1&lt;=$K$4),"""")"),90645.0)</f>
        <v>90645</v>
      </c>
      <c r="Q28" s="102">
        <f t="shared" ref="Q28:Q36" si="24">IFERROR($E28/P28,"")</f>
        <v>0</v>
      </c>
      <c r="R28" s="77"/>
    </row>
    <row r="29">
      <c r="A29" s="116" t="s">
        <v>283</v>
      </c>
      <c r="B29" s="113"/>
      <c r="C29" s="100"/>
      <c r="D29" s="100"/>
      <c r="E29" s="99">
        <f t="shared" si="17"/>
        <v>0</v>
      </c>
      <c r="F29" s="101" t="str">
        <f t="shared" si="21"/>
        <v>0000-5445</v>
      </c>
      <c r="G29" s="99">
        <v>98462.0</v>
      </c>
      <c r="H29" s="102">
        <f t="shared" si="16"/>
        <v>0</v>
      </c>
      <c r="I29" s="77"/>
      <c r="J29" s="103">
        <f>IFERROR(__xludf.DUMMYFUNCTION("IFERROR(SUMPRODUCT(FILTER('FY22 Budget'!$F$2:$AC$71,'FY22 Budget'!$C$2:$C$71=$F29),'FY22 Budget'!$F$1:$AC$1&lt;=$K$4),"""")"),86286.24000000003)</f>
        <v>86286.24</v>
      </c>
      <c r="K29" s="104">
        <f t="shared" si="22"/>
        <v>0</v>
      </c>
      <c r="L29" s="105"/>
      <c r="M29" s="103">
        <f>IFNA(VLOOKUP($F29,'FY22 Budget Update'!$C:$E,3,false),0)</f>
        <v>86286.26</v>
      </c>
      <c r="N29" s="104">
        <f t="shared" si="23"/>
        <v>0</v>
      </c>
      <c r="O29" s="77"/>
      <c r="P29" s="106">
        <f>IFERROR(__xludf.DUMMYFUNCTION("IFERROR(SUMPRODUCT(FILTER('FY22 Budget Update'!$F$2:$AC$72,'FY22 Budget Update'!$C$2:$C$72=$F29),'FY22 Budget Update'!$F$1:$AC$1&lt;=$K$4),"""")"),86286.24000000003)</f>
        <v>86286.24</v>
      </c>
      <c r="Q29" s="102">
        <f t="shared" si="24"/>
        <v>0</v>
      </c>
      <c r="R29" s="119"/>
    </row>
    <row r="30">
      <c r="A30" s="98" t="s">
        <v>284</v>
      </c>
      <c r="B30" s="113">
        <v>4643.57</v>
      </c>
      <c r="C30" s="100"/>
      <c r="D30" s="100"/>
      <c r="E30" s="99">
        <f t="shared" si="17"/>
        <v>4643.57</v>
      </c>
      <c r="F30" s="101" t="str">
        <f t="shared" si="21"/>
        <v>0000-5446</v>
      </c>
      <c r="G30" s="99">
        <v>42240.0</v>
      </c>
      <c r="H30" s="102">
        <f t="shared" si="16"/>
        <v>0.1099330019</v>
      </c>
      <c r="I30" s="77"/>
      <c r="J30" s="103">
        <f>IFERROR(__xludf.DUMMYFUNCTION("IFERROR(SUMPRODUCT(FILTER('FY22 Budget'!$F$2:$AC$71,'FY22 Budget'!$C$2:$C$71=$F30),'FY22 Budget'!$F$1:$AC$1&lt;=$K$4),"""")"),4569.96)</f>
        <v>4569.96</v>
      </c>
      <c r="K30" s="104">
        <f t="shared" si="22"/>
        <v>1.016107362</v>
      </c>
      <c r="L30" s="105"/>
      <c r="M30" s="103">
        <f>IFNA(VLOOKUP($F30,'FY22 Budget Update'!$C:$E,3,false),0)</f>
        <v>4570</v>
      </c>
      <c r="N30" s="104">
        <f t="shared" si="23"/>
        <v>1.016098468</v>
      </c>
      <c r="O30" s="77"/>
      <c r="P30" s="106">
        <f>IFERROR(__xludf.DUMMYFUNCTION("IFERROR(SUMPRODUCT(FILTER('FY22 Budget Update'!$F$2:$AC$72,'FY22 Budget Update'!$C$2:$C$72=$F30),'FY22 Budget Update'!$F$1:$AC$1&lt;=$K$4),"""")"),4569.96)</f>
        <v>4569.96</v>
      </c>
      <c r="Q30" s="102">
        <f t="shared" si="24"/>
        <v>1.016107362</v>
      </c>
      <c r="R30" s="77"/>
    </row>
    <row r="31">
      <c r="A31" s="98" t="s">
        <v>285</v>
      </c>
      <c r="B31" s="113">
        <f>39767.22</f>
        <v>39767.22</v>
      </c>
      <c r="C31" s="100"/>
      <c r="D31" s="100"/>
      <c r="E31" s="99">
        <f t="shared" si="17"/>
        <v>39767.22</v>
      </c>
      <c r="F31" s="101" t="str">
        <f t="shared" si="21"/>
        <v>0000-5451</v>
      </c>
      <c r="G31" s="99">
        <v>794880.0</v>
      </c>
      <c r="H31" s="102">
        <f t="shared" si="16"/>
        <v>0.05002921196</v>
      </c>
      <c r="I31" s="77"/>
      <c r="J31" s="103">
        <f>IFERROR(__xludf.DUMMYFUNCTION("IFERROR(SUMPRODUCT(FILTER('FY22 Budget'!$F$2:$AC$71,'FY22 Budget'!$C$2:$C$71=$F31),'FY22 Budget'!$F$1:$AC$1&lt;=$K$4),"""")"),194040.01)</f>
        <v>194040.01</v>
      </c>
      <c r="K31" s="104">
        <f t="shared" si="22"/>
        <v>0.2049434032</v>
      </c>
      <c r="L31" s="105"/>
      <c r="M31" s="103">
        <f>IFNA(VLOOKUP($F31,'FY22 Budget Update'!$C:$E,3,false),0)</f>
        <v>73511.06</v>
      </c>
      <c r="N31" s="104">
        <f t="shared" si="23"/>
        <v>0.5409692093</v>
      </c>
      <c r="O31" s="77"/>
      <c r="P31" s="106">
        <f t="shared" ref="P31:P33" si="25">M31</f>
        <v>73511.06</v>
      </c>
      <c r="Q31" s="102">
        <f t="shared" si="24"/>
        <v>0.5409692093</v>
      </c>
      <c r="R31" s="77"/>
    </row>
    <row r="32">
      <c r="A32" s="98" t="s">
        <v>286</v>
      </c>
      <c r="B32" s="113">
        <f>1683.16</f>
        <v>1683.16</v>
      </c>
      <c r="C32" s="100"/>
      <c r="D32" s="100"/>
      <c r="E32" s="99">
        <f t="shared" si="17"/>
        <v>1683.16</v>
      </c>
      <c r="F32" s="101" t="str">
        <f t="shared" si="21"/>
        <v>0000-5461</v>
      </c>
      <c r="G32" s="99">
        <v>45424.0</v>
      </c>
      <c r="H32" s="102">
        <f t="shared" si="16"/>
        <v>0.03705442057</v>
      </c>
      <c r="I32" s="77"/>
      <c r="J32" s="103">
        <f>IFERROR(__xludf.DUMMYFUNCTION("IFERROR(SUMPRODUCT(FILTER('FY22 Budget'!$F$2:$AC$71,'FY22 Budget'!$C$2:$C$71=$F32),'FY22 Budget'!$F$1:$AC$1&lt;=$K$4),"""")"),20000.0)</f>
        <v>20000</v>
      </c>
      <c r="K32" s="104">
        <f t="shared" si="22"/>
        <v>0.084158</v>
      </c>
      <c r="L32" s="105"/>
      <c r="M32" s="103">
        <f>IFNA(VLOOKUP($F32,'FY22 Budget Update'!$C:$E,3,false),0)</f>
        <v>7219.91</v>
      </c>
      <c r="N32" s="104">
        <f t="shared" si="23"/>
        <v>0.2331275598</v>
      </c>
      <c r="O32" s="77"/>
      <c r="P32" s="106">
        <f t="shared" si="25"/>
        <v>7219.91</v>
      </c>
      <c r="Q32" s="102">
        <f t="shared" si="24"/>
        <v>0.2331275598</v>
      </c>
      <c r="R32" s="77"/>
    </row>
    <row r="33">
      <c r="A33" s="98" t="s">
        <v>287</v>
      </c>
      <c r="B33" s="113">
        <f>1038.82</f>
        <v>1038.82</v>
      </c>
      <c r="C33" s="100"/>
      <c r="D33" s="100"/>
      <c r="E33" s="99">
        <f t="shared" si="17"/>
        <v>1038.82</v>
      </c>
      <c r="F33" s="101" t="str">
        <f t="shared" si="21"/>
        <v>0000-5465</v>
      </c>
      <c r="G33" s="99">
        <v>36461.0</v>
      </c>
      <c r="H33" s="102">
        <f t="shared" si="16"/>
        <v>0.02849126464</v>
      </c>
      <c r="I33" s="77"/>
      <c r="J33" s="103">
        <f>IFERROR(__xludf.DUMMYFUNCTION("IFERROR(SUMPRODUCT(FILTER('FY22 Budget'!$F$2:$AC$71,'FY22 Budget'!$C$2:$C$71=$F33),'FY22 Budget'!$F$1:$AC$1&lt;=$K$4),"""")"),22492.0)</f>
        <v>22492</v>
      </c>
      <c r="K33" s="104">
        <f t="shared" si="22"/>
        <v>0.04618619954</v>
      </c>
      <c r="L33" s="105"/>
      <c r="M33" s="103">
        <f>IFNA(VLOOKUP($F33,'FY22 Budget Update'!$C:$E,3,false),0)</f>
        <v>7990.51</v>
      </c>
      <c r="N33" s="104">
        <f t="shared" si="23"/>
        <v>0.1300067205</v>
      </c>
      <c r="O33" s="77"/>
      <c r="P33" s="106">
        <f t="shared" si="25"/>
        <v>7990.51</v>
      </c>
      <c r="Q33" s="102">
        <f t="shared" si="24"/>
        <v>0.1300067205</v>
      </c>
      <c r="R33" s="77"/>
    </row>
    <row r="34">
      <c r="A34" s="98" t="s">
        <v>288</v>
      </c>
      <c r="B34" s="113"/>
      <c r="C34" s="100"/>
      <c r="D34" s="100"/>
      <c r="E34" s="99">
        <f t="shared" si="17"/>
        <v>0</v>
      </c>
      <c r="F34" s="101" t="str">
        <f t="shared" si="21"/>
        <v>0000-5471</v>
      </c>
      <c r="G34" s="106"/>
      <c r="H34" s="102" t="str">
        <f t="shared" si="16"/>
        <v/>
      </c>
      <c r="I34" s="77"/>
      <c r="J34" s="103" t="str">
        <f>IFERROR(__xludf.DUMMYFUNCTION("IFERROR(SUMPRODUCT(FILTER('FY22 Budget'!$F$2:$AC$71,'FY22 Budget'!$C$2:$C$71=$F34),'FY22 Budget'!$F$1:$AC$1&lt;=$K$4),"""")"),"")</f>
        <v/>
      </c>
      <c r="K34" s="104" t="str">
        <f t="shared" si="22"/>
        <v/>
      </c>
      <c r="L34" s="105"/>
      <c r="M34" s="103">
        <f>IFNA(VLOOKUP($F34,'FY22 Budget Update'!$C:$E,3,false),0)</f>
        <v>0</v>
      </c>
      <c r="N34" s="104" t="str">
        <f>IFERROR(K34/M34,"")</f>
        <v/>
      </c>
      <c r="O34" s="77"/>
      <c r="P34" s="106" t="str">
        <f>IFERROR(__xludf.DUMMYFUNCTION("IFERROR(SUMPRODUCT(FILTER('FY22 Budget Update'!$F$2:$AC$72,'FY22 Budget Update'!$C$2:$C$72=$F34),'FY22 Budget Update'!$F$1:$AC$1&lt;=$K$4),"""")"),"")</f>
        <v/>
      </c>
      <c r="Q34" s="102" t="str">
        <f t="shared" si="24"/>
        <v/>
      </c>
      <c r="R34" s="77"/>
    </row>
    <row r="35">
      <c r="A35" s="98" t="s">
        <v>289</v>
      </c>
      <c r="B35" s="120"/>
      <c r="C35" s="100"/>
      <c r="D35" s="100"/>
      <c r="E35" s="99">
        <f t="shared" si="17"/>
        <v>0</v>
      </c>
      <c r="F35" s="101" t="str">
        <f t="shared" si="21"/>
        <v>0000-5497</v>
      </c>
      <c r="G35" s="99">
        <f>19000+74585</f>
        <v>93585</v>
      </c>
      <c r="H35" s="102">
        <f t="shared" si="16"/>
        <v>0</v>
      </c>
      <c r="I35" s="77"/>
      <c r="J35" s="103">
        <f>IFERROR(__xludf.DUMMYFUNCTION("IFERROR(SUMPRODUCT(FILTER('FY22 Budget'!$F$2:$AC$71,'FY22 Budget'!$C$2:$C$71=$F35),'FY22 Budget'!$F$1:$AC$1&lt;=$K$4),"""")"),752523.0)</f>
        <v>752523</v>
      </c>
      <c r="K35" s="104">
        <f t="shared" si="22"/>
        <v>0</v>
      </c>
      <c r="L35" s="105"/>
      <c r="M35" s="103">
        <f>IFNA(VLOOKUP($F35,'FY22 Budget Update'!$C:$E,3,false),0)</f>
        <v>895042.638</v>
      </c>
      <c r="N35" s="104">
        <f t="shared" ref="N35:N36" si="27">IFERROR($E35/M35,"")</f>
        <v>0</v>
      </c>
      <c r="O35" s="77"/>
      <c r="P35" s="106">
        <f>IFERROR(__xludf.DUMMYFUNCTION("IFERROR(SUMPRODUCT(FILTER('FY22 Budget Update'!$F$2:$AC$72,'FY22 Budget Update'!$C$2:$C$72=$F35),'FY22 Budget Update'!$F$1:$AC$1&lt;=$K$4),"""")"),895042.638)</f>
        <v>895042.638</v>
      </c>
      <c r="Q35" s="102">
        <f t="shared" si="24"/>
        <v>0</v>
      </c>
      <c r="R35" s="77"/>
    </row>
    <row r="36">
      <c r="A36" s="98" t="s">
        <v>290</v>
      </c>
      <c r="B36" s="108">
        <f t="shared" ref="B36:D36" si="26">SUM(B24:B35)</f>
        <v>93740.93</v>
      </c>
      <c r="C36" s="108">
        <f t="shared" si="26"/>
        <v>0</v>
      </c>
      <c r="D36" s="108">
        <f t="shared" si="26"/>
        <v>0</v>
      </c>
      <c r="E36" s="108">
        <f t="shared" ref="E36:E39" si="28">((B36)+(C36))+(D36)</f>
        <v>93740.93</v>
      </c>
      <c r="F36" s="101" t="str">
        <f t="shared" si="21"/>
        <v>Total 000</v>
      </c>
      <c r="G36" s="108">
        <f>SUM(G24:G35)</f>
        <v>1314945</v>
      </c>
      <c r="H36" s="121">
        <f>IFERROR($E36/G36,"")</f>
        <v>0.07128885999</v>
      </c>
      <c r="I36" s="77"/>
      <c r="J36" s="110">
        <f>SUM(J24:J35)</f>
        <v>1209498.89</v>
      </c>
      <c r="K36" s="111">
        <f t="shared" si="22"/>
        <v>0.0775039405</v>
      </c>
      <c r="L36" s="105"/>
      <c r="M36" s="110">
        <f>SUM(M24:M35)</f>
        <v>2938161.142</v>
      </c>
      <c r="N36" s="111">
        <f t="shared" si="27"/>
        <v>0.0319046252</v>
      </c>
      <c r="O36" s="77"/>
      <c r="P36" s="108">
        <f>SUM(P24:P35)</f>
        <v>2938161.082</v>
      </c>
      <c r="Q36" s="112">
        <f t="shared" si="24"/>
        <v>0.03190462585</v>
      </c>
      <c r="R36" s="77"/>
    </row>
    <row r="37">
      <c r="A37" s="98" t="s">
        <v>291</v>
      </c>
      <c r="B37" s="100"/>
      <c r="C37" s="100"/>
      <c r="D37" s="100"/>
      <c r="E37" s="106">
        <f t="shared" si="28"/>
        <v>0</v>
      </c>
      <c r="F37" s="101" t="str">
        <f t="shared" si="21"/>
        <v>0000-5800</v>
      </c>
      <c r="G37" s="106"/>
      <c r="H37" s="102" t="str">
        <f t="shared" ref="H37:H38" si="29">IFERROR(E37/G37,"")</f>
        <v/>
      </c>
      <c r="I37" s="77"/>
      <c r="J37" s="103"/>
      <c r="K37" s="104"/>
      <c r="L37" s="105"/>
      <c r="M37" s="103"/>
      <c r="N37" s="104" t="str">
        <f t="shared" ref="N37:N38" si="30">IFERROR(K37/M37,"")</f>
        <v/>
      </c>
      <c r="O37" s="77"/>
      <c r="P37" s="106"/>
      <c r="Q37" s="102"/>
      <c r="R37" s="77"/>
    </row>
    <row r="38">
      <c r="A38" s="98" t="s">
        <v>292</v>
      </c>
      <c r="B38" s="120">
        <v>0.0</v>
      </c>
      <c r="C38" s="100"/>
      <c r="D38" s="100"/>
      <c r="E38" s="106">
        <f t="shared" si="28"/>
        <v>0</v>
      </c>
      <c r="F38" s="101" t="str">
        <f t="shared" si="21"/>
        <v>0000-5841</v>
      </c>
      <c r="G38" s="106"/>
      <c r="H38" s="102" t="str">
        <f t="shared" si="29"/>
        <v/>
      </c>
      <c r="I38" s="77"/>
      <c r="J38" s="103" t="str">
        <f>IFERROR(__xludf.DUMMYFUNCTION("IFERROR(SUMPRODUCT(FILTER('FY22 Budget'!$F$2:$AC$71,'FY22 Budget'!$C$2:$C$71=$F38),'FY22 Budget'!$F$1:$AC$1&lt;=$K$4),"""")"),"")</f>
        <v/>
      </c>
      <c r="K38" s="104" t="str">
        <f t="shared" ref="K38:K40" si="32">IFERROR($E38/J38,"")</f>
        <v/>
      </c>
      <c r="L38" s="105"/>
      <c r="M38" s="103">
        <f>E38</f>
        <v>0</v>
      </c>
      <c r="N38" s="104" t="str">
        <f t="shared" si="30"/>
        <v/>
      </c>
      <c r="O38" s="77"/>
      <c r="P38" s="106">
        <f>E38</f>
        <v>0</v>
      </c>
      <c r="Q38" s="102" t="str">
        <f t="shared" ref="Q38:Q40" si="33">IFERROR($E38/P38,"")</f>
        <v/>
      </c>
      <c r="R38" s="77"/>
    </row>
    <row r="39">
      <c r="A39" s="98" t="s">
        <v>293</v>
      </c>
      <c r="B39" s="108">
        <f t="shared" ref="B39:D39" si="31">(B37)+(B38)</f>
        <v>0</v>
      </c>
      <c r="C39" s="108">
        <f t="shared" si="31"/>
        <v>0</v>
      </c>
      <c r="D39" s="108">
        <f t="shared" si="31"/>
        <v>0</v>
      </c>
      <c r="E39" s="108">
        <f t="shared" si="28"/>
        <v>0</v>
      </c>
      <c r="F39" s="101" t="str">
        <f t="shared" si="21"/>
        <v>Total 000</v>
      </c>
      <c r="G39" s="108">
        <f>SUM(G38)</f>
        <v>0</v>
      </c>
      <c r="H39" s="112" t="str">
        <f t="shared" ref="H39:H40" si="35">IFERROR($E39/G39,"")</f>
        <v/>
      </c>
      <c r="I39" s="77"/>
      <c r="J39" s="110">
        <f>SUM(J38)</f>
        <v>0</v>
      </c>
      <c r="K39" s="111" t="str">
        <f t="shared" si="32"/>
        <v/>
      </c>
      <c r="L39" s="105"/>
      <c r="M39" s="110">
        <f>SUM(M38)</f>
        <v>0</v>
      </c>
      <c r="N39" s="111" t="str">
        <f t="shared" ref="N39:N40" si="36">IFERROR($E39/M39,"")</f>
        <v/>
      </c>
      <c r="O39" s="77"/>
      <c r="P39" s="108">
        <f>SUM(P38)</f>
        <v>0</v>
      </c>
      <c r="Q39" s="112" t="str">
        <f t="shared" si="33"/>
        <v/>
      </c>
      <c r="R39" s="77"/>
    </row>
    <row r="40">
      <c r="A40" s="98" t="s">
        <v>169</v>
      </c>
      <c r="B40" s="108">
        <f t="shared" ref="B40:D40" si="34">(((B17)+(B22))+(B36))+(B39)</f>
        <v>486382.4</v>
      </c>
      <c r="C40" s="108">
        <f t="shared" si="34"/>
        <v>532760.19</v>
      </c>
      <c r="D40" s="108">
        <f t="shared" si="34"/>
        <v>0</v>
      </c>
      <c r="E40" s="108">
        <f>sum(E17+E22+E36)</f>
        <v>1019142.59</v>
      </c>
      <c r="F40" s="101" t="str">
        <f t="shared" si="21"/>
        <v>Total Rev</v>
      </c>
      <c r="G40" s="108">
        <f>SUM(G8:G16,G19:G21,G24:G35,G38)</f>
        <v>10820293</v>
      </c>
      <c r="H40" s="117">
        <f t="shared" si="35"/>
        <v>0.09418807698</v>
      </c>
      <c r="I40" s="77"/>
      <c r="J40" s="110">
        <f>SUM(J8:J16,J19:J21,J24:J35,J38)</f>
        <v>6080733.89</v>
      </c>
      <c r="K40" s="111">
        <f t="shared" si="32"/>
        <v>0.167601906</v>
      </c>
      <c r="L40" s="105"/>
      <c r="M40" s="110">
        <f>SUM(M8:M16,M19:M21,M24:M35,M38)</f>
        <v>7780111.41</v>
      </c>
      <c r="N40" s="111">
        <f t="shared" si="36"/>
        <v>0.1309933157</v>
      </c>
      <c r="O40" s="77"/>
      <c r="P40" s="108">
        <f>SUM(P8:P16,P19:P21,P24:P35,P38)</f>
        <v>10448485.43</v>
      </c>
      <c r="Q40" s="112">
        <f t="shared" si="33"/>
        <v>0.09753974362</v>
      </c>
      <c r="R40" s="122"/>
    </row>
    <row r="41">
      <c r="A41" s="123"/>
      <c r="B41" s="100"/>
      <c r="C41" s="100"/>
      <c r="D41" s="100"/>
      <c r="E41" s="115"/>
      <c r="F41" s="101"/>
      <c r="G41" s="100"/>
      <c r="H41" s="124"/>
      <c r="I41" s="77"/>
      <c r="J41" s="125"/>
      <c r="K41" s="126"/>
      <c r="L41" s="105"/>
      <c r="M41" s="125"/>
      <c r="N41" s="126"/>
      <c r="O41" s="77"/>
      <c r="P41" s="100"/>
      <c r="Q41" s="124"/>
      <c r="R41" s="77"/>
    </row>
    <row r="42">
      <c r="A42" s="77"/>
      <c r="B42" s="127"/>
      <c r="C42" s="100"/>
      <c r="D42" s="100"/>
      <c r="E42" s="115"/>
      <c r="F42" s="101" t="str">
        <f>LEFT(TRIM(A43),9)</f>
        <v>Expenditu</v>
      </c>
      <c r="G42" s="100"/>
      <c r="H42" s="124" t="str">
        <f t="shared" ref="H42:H66" si="37">IFERROR(E42/G42,"")</f>
        <v/>
      </c>
      <c r="I42" s="77"/>
      <c r="J42" s="125"/>
      <c r="K42" s="126"/>
      <c r="L42" s="105"/>
      <c r="M42" s="125"/>
      <c r="N42" s="126" t="str">
        <f t="shared" ref="N42:N44" si="38">IFERROR(K42/M42,"")</f>
        <v/>
      </c>
      <c r="O42" s="77"/>
      <c r="P42" s="100"/>
      <c r="Q42" s="124"/>
      <c r="R42" s="77"/>
    </row>
    <row r="43">
      <c r="A43" s="128" t="s">
        <v>171</v>
      </c>
      <c r="B43" s="129"/>
      <c r="C43" s="130"/>
      <c r="D43" s="130"/>
      <c r="E43" s="129"/>
      <c r="F43" s="101"/>
      <c r="G43" s="106"/>
      <c r="H43" s="102" t="str">
        <f t="shared" si="37"/>
        <v/>
      </c>
      <c r="I43" s="77"/>
      <c r="J43" s="103"/>
      <c r="K43" s="104"/>
      <c r="L43" s="105"/>
      <c r="M43" s="103"/>
      <c r="N43" s="104" t="str">
        <f t="shared" si="38"/>
        <v/>
      </c>
      <c r="O43" s="77"/>
      <c r="P43" s="106"/>
      <c r="Q43" s="102"/>
      <c r="R43" s="77"/>
    </row>
    <row r="44">
      <c r="A44" s="128" t="s">
        <v>294</v>
      </c>
      <c r="B44" s="99"/>
      <c r="C44" s="100"/>
      <c r="D44" s="100"/>
      <c r="E44" s="106"/>
      <c r="F44" s="101" t="str">
        <f>LEFT(TRIM(A44),9)</f>
        <v>0000-6100</v>
      </c>
      <c r="G44" s="106"/>
      <c r="H44" s="102" t="str">
        <f t="shared" si="37"/>
        <v/>
      </c>
      <c r="I44" s="77"/>
      <c r="J44" s="103"/>
      <c r="K44" s="104"/>
      <c r="L44" s="105"/>
      <c r="M44" s="103"/>
      <c r="N44" s="104" t="str">
        <f t="shared" si="38"/>
        <v/>
      </c>
      <c r="O44" s="77"/>
      <c r="P44" s="106"/>
      <c r="Q44" s="102"/>
      <c r="R44" s="77"/>
    </row>
    <row r="45">
      <c r="A45" s="131" t="s">
        <v>295</v>
      </c>
      <c r="B45" s="106"/>
      <c r="C45" s="115"/>
      <c r="D45" s="100"/>
      <c r="E45" s="99">
        <f t="shared" ref="E45:E70" si="39">SUM(B45:D45)</f>
        <v>0</v>
      </c>
      <c r="F45" s="101"/>
      <c r="G45" s="99"/>
      <c r="H45" s="102" t="str">
        <f t="shared" si="37"/>
        <v/>
      </c>
      <c r="I45" s="77"/>
      <c r="J45" s="103"/>
      <c r="K45" s="104"/>
      <c r="L45" s="105"/>
      <c r="M45" s="103"/>
      <c r="N45" s="104"/>
      <c r="O45" s="77"/>
      <c r="P45" s="106"/>
      <c r="Q45" s="102"/>
      <c r="R45" s="77"/>
    </row>
    <row r="46">
      <c r="A46" s="131" t="s">
        <v>296</v>
      </c>
      <c r="B46" s="99">
        <v>28273.08</v>
      </c>
      <c r="C46" s="115">
        <v>131995.41</v>
      </c>
      <c r="D46" s="100"/>
      <c r="E46" s="99">
        <f t="shared" si="39"/>
        <v>160268.49</v>
      </c>
      <c r="F46" s="101" t="str">
        <f>LEFT(TRIM(A46),9)</f>
        <v>1131-6151</v>
      </c>
      <c r="G46" s="99">
        <v>2673907.0</v>
      </c>
      <c r="H46" s="102">
        <f t="shared" si="37"/>
        <v>0.05993794474</v>
      </c>
      <c r="I46" s="77"/>
      <c r="J46" s="103" t="str">
        <f>IFERROR(__xludf.DUMMYFUNCTION("IFERROR(SUMPRODUCT(FILTER('FY22 Budget'!$F$2:$AC$71,'FY22 Budget'!$C$2:$C$71=$F46),'FY22 Budget'!$F$1:$AC$1&lt;=$K$4),"""")"),"")</f>
        <v/>
      </c>
      <c r="K46" s="104" t="str">
        <f>IFERROR($E46/J46,"")</f>
        <v/>
      </c>
      <c r="L46" s="105"/>
      <c r="M46" s="103">
        <f>IFNA(VLOOKUP($F46,'FY22 Budget Update'!$C:$E,3,false),0)</f>
        <v>0</v>
      </c>
      <c r="N46" s="104" t="str">
        <f>IFERROR($E46/M46,"")</f>
        <v/>
      </c>
      <c r="O46" s="77"/>
      <c r="P46" s="106" t="str">
        <f>IFERROR(__xludf.DUMMYFUNCTION("IFERROR(SUMPRODUCT(FILTER('FY22 Budget Update'!$F$2:$AC$72,'FY22 Budget Update'!$C$2:$C$72=$F46),'FY22 Budget Update'!$F$1:$AC$1&lt;=$K$4),"""")"),"")</f>
        <v/>
      </c>
      <c r="Q46" s="102" t="str">
        <f>IFERROR($E46/P46,"")</f>
        <v/>
      </c>
      <c r="R46" s="77"/>
    </row>
    <row r="47">
      <c r="A47" s="131" t="s">
        <v>297</v>
      </c>
      <c r="B47" s="99">
        <v>4557.6</v>
      </c>
      <c r="C47" s="115">
        <f>140027.44+240</f>
        <v>140267.44</v>
      </c>
      <c r="D47" s="100"/>
      <c r="E47" s="99">
        <f t="shared" si="39"/>
        <v>144825.04</v>
      </c>
      <c r="F47" s="101"/>
      <c r="G47" s="99">
        <f>2441394</f>
        <v>2441394</v>
      </c>
      <c r="H47" s="102">
        <f t="shared" si="37"/>
        <v>0.05932063403</v>
      </c>
      <c r="I47" s="77"/>
      <c r="J47" s="103"/>
      <c r="K47" s="104"/>
      <c r="L47" s="105"/>
      <c r="M47" s="103"/>
      <c r="N47" s="104"/>
      <c r="O47" s="77"/>
      <c r="P47" s="106"/>
      <c r="Q47" s="102"/>
      <c r="R47" s="77"/>
    </row>
    <row r="48">
      <c r="A48" s="131" t="s">
        <v>298</v>
      </c>
      <c r="B48" s="99">
        <v>22605.52</v>
      </c>
      <c r="C48" s="115">
        <v>10075.05</v>
      </c>
      <c r="D48" s="100"/>
      <c r="E48" s="99">
        <f t="shared" si="39"/>
        <v>32680.57</v>
      </c>
      <c r="F48" s="101" t="str">
        <f>LEFT(TRIM(A48),9)</f>
        <v>1221-6152</v>
      </c>
      <c r="G48" s="99">
        <v>697541.0</v>
      </c>
      <c r="H48" s="102">
        <f t="shared" si="37"/>
        <v>0.04685110983</v>
      </c>
      <c r="I48" s="77"/>
      <c r="J48" s="103" t="str">
        <f>IFERROR(__xludf.DUMMYFUNCTION("IFERROR(SUMPRODUCT(FILTER('FY22 Budget'!$F$2:$AC$71,'FY22 Budget'!$C$2:$C$71=$F48),'FY22 Budget'!$F$1:$AC$1&lt;=$K$4),"""")"),"")</f>
        <v/>
      </c>
      <c r="K48" s="104" t="str">
        <f>IFERROR($E48/J48,"")</f>
        <v/>
      </c>
      <c r="L48" s="105"/>
      <c r="M48" s="103">
        <f>IFNA(VLOOKUP($F48,'FY22 Budget Update'!$C:$E,3,false),0)</f>
        <v>0</v>
      </c>
      <c r="N48" s="104" t="str">
        <f>IFERROR($E48/M48,"")</f>
        <v/>
      </c>
      <c r="O48" s="77"/>
      <c r="P48" s="106" t="str">
        <f>IFERROR(__xludf.DUMMYFUNCTION("IFERROR(SUMPRODUCT(FILTER('FY22 Budget Update'!$F$2:$AC$72,'FY22 Budget Update'!$C$2:$C$72=$F48),'FY22 Budget Update'!$F$1:$AC$1&lt;=$K$4),"""")"),"")</f>
        <v/>
      </c>
      <c r="Q48" s="102" t="str">
        <f>IFERROR($E48/P48,"")</f>
        <v/>
      </c>
      <c r="R48" s="77"/>
    </row>
    <row r="49">
      <c r="A49" s="131" t="s">
        <v>299</v>
      </c>
      <c r="B49" s="106"/>
      <c r="C49" s="115"/>
      <c r="D49" s="100"/>
      <c r="E49" s="99">
        <f t="shared" si="39"/>
        <v>0</v>
      </c>
      <c r="F49" s="101"/>
      <c r="G49" s="99"/>
      <c r="H49" s="102" t="str">
        <f t="shared" si="37"/>
        <v/>
      </c>
      <c r="I49" s="77"/>
      <c r="J49" s="103"/>
      <c r="K49" s="104"/>
      <c r="L49" s="105"/>
      <c r="M49" s="103"/>
      <c r="N49" s="104"/>
      <c r="O49" s="77"/>
      <c r="P49" s="106"/>
      <c r="Q49" s="102"/>
      <c r="R49" s="77"/>
    </row>
    <row r="50">
      <c r="A50" s="128" t="s">
        <v>300</v>
      </c>
      <c r="B50" s="99"/>
      <c r="C50" s="115"/>
      <c r="D50" s="100"/>
      <c r="E50" s="99">
        <f t="shared" si="39"/>
        <v>0</v>
      </c>
      <c r="F50" s="101"/>
      <c r="G50" s="99"/>
      <c r="H50" s="102" t="str">
        <f t="shared" si="37"/>
        <v/>
      </c>
      <c r="I50" s="77"/>
      <c r="J50" s="103" t="str">
        <f>IFERROR(__xludf.DUMMYFUNCTION("IFERROR(SUMPRODUCT(FILTER('FY22 Budget'!$F$2:$AC$71,'FY22 Budget'!$C$2:$C$71=$F61),'FY22 Budget'!$F$1:$AC$1&lt;=$K$4),"""")"),"")</f>
        <v/>
      </c>
      <c r="K50" s="104" t="str">
        <f>IFERROR($E61/J50,"")</f>
        <v/>
      </c>
      <c r="L50" s="105"/>
      <c r="M50" s="103">
        <f>IFNA(VLOOKUP($F61,'FY22 Budget Update'!$C:$E,3,false),0)</f>
        <v>0</v>
      </c>
      <c r="N50" s="104" t="str">
        <f>IFERROR($E61/M50,"")</f>
        <v/>
      </c>
      <c r="O50" s="77"/>
      <c r="P50" s="106" t="str">
        <f>IFERROR(__xludf.DUMMYFUNCTION("IFERROR(SUMPRODUCT(FILTER('FY22 Budget Update'!$F$2:$AC$72,'FY22 Budget Update'!$C$2:$C$72=$F61),'FY22 Budget Update'!$F$1:$AC$1&lt;=$K$4),"""")"),"")</f>
        <v/>
      </c>
      <c r="Q50" s="102" t="str">
        <f>IFERROR($E61/P50,"")</f>
        <v/>
      </c>
      <c r="R50" s="77"/>
    </row>
    <row r="51">
      <c r="A51" s="132" t="s">
        <v>301</v>
      </c>
      <c r="B51" s="120">
        <v>1917.23</v>
      </c>
      <c r="C51" s="115"/>
      <c r="D51" s="100"/>
      <c r="E51" s="99">
        <f t="shared" si="39"/>
        <v>1917.23</v>
      </c>
      <c r="F51" s="101"/>
      <c r="G51" s="99"/>
      <c r="H51" s="102" t="str">
        <f t="shared" si="37"/>
        <v/>
      </c>
      <c r="I51" s="77"/>
      <c r="J51" s="103"/>
      <c r="K51" s="104"/>
      <c r="L51" s="105"/>
      <c r="M51" s="103"/>
      <c r="N51" s="104"/>
      <c r="O51" s="77"/>
      <c r="P51" s="106"/>
      <c r="Q51" s="102"/>
      <c r="R51" s="77"/>
    </row>
    <row r="52">
      <c r="A52" s="132" t="s">
        <v>302</v>
      </c>
      <c r="B52" s="120"/>
      <c r="C52" s="115"/>
      <c r="D52" s="100"/>
      <c r="E52" s="99">
        <f t="shared" si="39"/>
        <v>0</v>
      </c>
      <c r="F52" s="101"/>
      <c r="G52" s="99"/>
      <c r="H52" s="102" t="str">
        <f t="shared" si="37"/>
        <v/>
      </c>
      <c r="I52" s="77"/>
      <c r="J52" s="103"/>
      <c r="K52" s="104"/>
      <c r="L52" s="105"/>
      <c r="M52" s="103"/>
      <c r="N52" s="104"/>
      <c r="O52" s="77"/>
      <c r="P52" s="106"/>
      <c r="Q52" s="102"/>
      <c r="R52" s="77"/>
    </row>
    <row r="53">
      <c r="A53" s="132" t="s">
        <v>303</v>
      </c>
      <c r="B53" s="120">
        <v>13420.61</v>
      </c>
      <c r="C53" s="115"/>
      <c r="D53" s="100"/>
      <c r="E53" s="99">
        <f t="shared" si="39"/>
        <v>13420.61</v>
      </c>
      <c r="F53" s="101"/>
      <c r="G53" s="99"/>
      <c r="H53" s="102" t="str">
        <f t="shared" si="37"/>
        <v/>
      </c>
      <c r="I53" s="77"/>
      <c r="J53" s="103"/>
      <c r="K53" s="104"/>
      <c r="L53" s="105"/>
      <c r="M53" s="103"/>
      <c r="N53" s="104"/>
      <c r="O53" s="77"/>
      <c r="P53" s="106"/>
      <c r="Q53" s="102"/>
      <c r="R53" s="77"/>
    </row>
    <row r="54">
      <c r="A54" s="132" t="s">
        <v>304</v>
      </c>
      <c r="B54" s="120"/>
      <c r="C54" s="115">
        <v>19166.68</v>
      </c>
      <c r="D54" s="100"/>
      <c r="E54" s="99">
        <f t="shared" si="39"/>
        <v>19166.68</v>
      </c>
      <c r="F54" s="101"/>
      <c r="G54" s="99"/>
      <c r="H54" s="102" t="str">
        <f t="shared" si="37"/>
        <v/>
      </c>
      <c r="I54" s="77"/>
      <c r="J54" s="103"/>
      <c r="K54" s="104"/>
      <c r="L54" s="105"/>
      <c r="M54" s="103"/>
      <c r="N54" s="104"/>
      <c r="O54" s="77"/>
      <c r="P54" s="106"/>
      <c r="Q54" s="102"/>
      <c r="R54" s="77"/>
    </row>
    <row r="55">
      <c r="A55" s="132" t="s">
        <v>305</v>
      </c>
      <c r="B55" s="133">
        <v>10000.0</v>
      </c>
      <c r="C55" s="115"/>
      <c r="D55" s="100"/>
      <c r="E55" s="99">
        <f t="shared" si="39"/>
        <v>10000</v>
      </c>
      <c r="F55" s="101"/>
      <c r="G55" s="99"/>
      <c r="H55" s="102" t="str">
        <f t="shared" si="37"/>
        <v/>
      </c>
      <c r="I55" s="77"/>
      <c r="J55" s="103"/>
      <c r="K55" s="104"/>
      <c r="L55" s="105"/>
      <c r="M55" s="103"/>
      <c r="N55" s="104"/>
      <c r="O55" s="77"/>
      <c r="P55" s="106"/>
      <c r="Q55" s="102"/>
      <c r="R55" s="77"/>
    </row>
    <row r="56">
      <c r="A56" s="131" t="s">
        <v>306</v>
      </c>
      <c r="B56" s="133">
        <v>6875.01</v>
      </c>
      <c r="C56" s="134"/>
      <c r="D56" s="134"/>
      <c r="E56" s="99">
        <f t="shared" si="39"/>
        <v>6875.01</v>
      </c>
      <c r="F56" s="101"/>
      <c r="G56" s="99"/>
      <c r="H56" s="102" t="str">
        <f t="shared" si="37"/>
        <v/>
      </c>
      <c r="I56" s="77"/>
      <c r="J56" s="135"/>
      <c r="K56" s="136"/>
      <c r="L56" s="105"/>
      <c r="M56" s="135"/>
      <c r="N56" s="136"/>
      <c r="O56" s="77"/>
      <c r="P56" s="134"/>
      <c r="Q56" s="137"/>
      <c r="R56" s="77"/>
    </row>
    <row r="57">
      <c r="A57" s="132" t="s">
        <v>307</v>
      </c>
      <c r="B57" s="133">
        <v>8696.87</v>
      </c>
      <c r="C57" s="115"/>
      <c r="D57" s="100"/>
      <c r="E57" s="99">
        <f t="shared" si="39"/>
        <v>8696.87</v>
      </c>
      <c r="F57" s="101"/>
      <c r="G57" s="99"/>
      <c r="H57" s="102" t="str">
        <f t="shared" si="37"/>
        <v/>
      </c>
      <c r="I57" s="77"/>
      <c r="J57" s="103"/>
      <c r="K57" s="104"/>
      <c r="L57" s="105"/>
      <c r="M57" s="103"/>
      <c r="N57" s="104"/>
      <c r="O57" s="77"/>
      <c r="P57" s="106"/>
      <c r="Q57" s="102"/>
      <c r="R57" s="77"/>
    </row>
    <row r="58">
      <c r="A58" s="132" t="s">
        <v>308</v>
      </c>
      <c r="B58" s="133">
        <v>67793.63</v>
      </c>
      <c r="C58" s="115"/>
      <c r="D58" s="100"/>
      <c r="E58" s="99">
        <f t="shared" si="39"/>
        <v>67793.63</v>
      </c>
      <c r="F58" s="101"/>
      <c r="G58" s="99"/>
      <c r="H58" s="102" t="str">
        <f t="shared" si="37"/>
        <v/>
      </c>
      <c r="I58" s="77"/>
      <c r="J58" s="103"/>
      <c r="K58" s="104"/>
      <c r="L58" s="105"/>
      <c r="M58" s="103"/>
      <c r="N58" s="104"/>
      <c r="O58" s="77"/>
      <c r="P58" s="106"/>
      <c r="Q58" s="102"/>
      <c r="R58" s="77"/>
    </row>
    <row r="59">
      <c r="A59" s="132" t="s">
        <v>309</v>
      </c>
      <c r="B59" s="133"/>
      <c r="C59" s="115">
        <v>9916.68</v>
      </c>
      <c r="D59" s="100"/>
      <c r="E59" s="99">
        <f t="shared" si="39"/>
        <v>9916.68</v>
      </c>
      <c r="F59" s="101"/>
      <c r="G59" s="99"/>
      <c r="H59" s="102" t="str">
        <f t="shared" si="37"/>
        <v/>
      </c>
      <c r="I59" s="77"/>
      <c r="J59" s="105"/>
      <c r="K59" s="105"/>
      <c r="L59" s="105"/>
      <c r="M59" s="105"/>
      <c r="N59" s="105"/>
      <c r="O59" s="77"/>
      <c r="P59" s="77"/>
      <c r="Q59" s="77"/>
      <c r="R59" s="77"/>
    </row>
    <row r="60">
      <c r="A60" s="132" t="s">
        <v>310</v>
      </c>
      <c r="B60" s="133">
        <v>39166.65</v>
      </c>
      <c r="C60" s="115"/>
      <c r="D60" s="100"/>
      <c r="E60" s="99">
        <f t="shared" si="39"/>
        <v>39166.65</v>
      </c>
      <c r="F60" s="101" t="str">
        <f>LEFT(TRIM(A50),9)</f>
        <v>1411-6131</v>
      </c>
      <c r="G60" s="99"/>
      <c r="H60" s="102" t="str">
        <f t="shared" si="37"/>
        <v/>
      </c>
      <c r="I60" s="77"/>
      <c r="J60" s="105"/>
      <c r="K60" s="105"/>
      <c r="L60" s="105"/>
      <c r="M60" s="105"/>
      <c r="N60" s="105"/>
      <c r="O60" s="77"/>
      <c r="P60" s="77"/>
      <c r="Q60" s="138">
        <f>sum(G70+G76)</f>
        <v>0</v>
      </c>
      <c r="R60" s="77"/>
    </row>
    <row r="61">
      <c r="A61" s="132" t="s">
        <v>311</v>
      </c>
      <c r="B61" s="133">
        <v>10572.67</v>
      </c>
      <c r="C61" s="115"/>
      <c r="D61" s="100"/>
      <c r="E61" s="99">
        <f t="shared" si="39"/>
        <v>10572.67</v>
      </c>
      <c r="F61" s="101"/>
      <c r="G61" s="99"/>
      <c r="H61" s="102" t="str">
        <f t="shared" si="37"/>
        <v/>
      </c>
      <c r="I61" s="77"/>
      <c r="J61" s="103"/>
      <c r="K61" s="104"/>
      <c r="L61" s="105"/>
      <c r="M61" s="103"/>
      <c r="N61" s="104"/>
      <c r="O61" s="77"/>
      <c r="P61" s="106"/>
      <c r="Q61" s="102"/>
      <c r="R61" s="77"/>
    </row>
    <row r="62">
      <c r="A62" s="131" t="s">
        <v>312</v>
      </c>
      <c r="B62" s="133">
        <v>101558.34</v>
      </c>
      <c r="C62" s="134"/>
      <c r="D62" s="134"/>
      <c r="E62" s="99">
        <f t="shared" si="39"/>
        <v>101558.34</v>
      </c>
      <c r="F62" s="101"/>
      <c r="G62" s="99"/>
      <c r="H62" s="102" t="str">
        <f t="shared" si="37"/>
        <v/>
      </c>
      <c r="I62" s="77"/>
      <c r="J62" s="135"/>
      <c r="K62" s="136"/>
      <c r="L62" s="105"/>
      <c r="M62" s="135"/>
      <c r="N62" s="136"/>
      <c r="O62" s="77"/>
      <c r="P62" s="134"/>
      <c r="Q62" s="137"/>
      <c r="R62" s="77"/>
    </row>
    <row r="63">
      <c r="A63" s="131" t="s">
        <v>313</v>
      </c>
      <c r="B63" s="133"/>
      <c r="C63" s="134"/>
      <c r="D63" s="134"/>
      <c r="E63" s="99">
        <f t="shared" si="39"/>
        <v>0</v>
      </c>
      <c r="F63" s="101"/>
      <c r="G63" s="99"/>
      <c r="H63" s="102" t="str">
        <f t="shared" si="37"/>
        <v/>
      </c>
      <c r="I63" s="77"/>
      <c r="J63" s="135"/>
      <c r="K63" s="136"/>
      <c r="L63" s="105"/>
      <c r="M63" s="135"/>
      <c r="N63" s="136"/>
      <c r="O63" s="77"/>
      <c r="P63" s="134"/>
      <c r="Q63" s="137"/>
      <c r="R63" s="77"/>
    </row>
    <row r="64">
      <c r="A64" s="132" t="s">
        <v>314</v>
      </c>
      <c r="B64" s="133">
        <f>5000+17552.58</f>
        <v>22552.58</v>
      </c>
      <c r="C64" s="115">
        <f>53166.67+2745</f>
        <v>55911.67</v>
      </c>
      <c r="D64" s="100"/>
      <c r="E64" s="99">
        <f t="shared" si="39"/>
        <v>78464.25</v>
      </c>
      <c r="F64" s="101"/>
      <c r="G64" s="99"/>
      <c r="H64" s="102" t="str">
        <f t="shared" si="37"/>
        <v/>
      </c>
      <c r="I64" s="77"/>
      <c r="J64" s="103"/>
      <c r="K64" s="104"/>
      <c r="L64" s="105"/>
      <c r="M64" s="103"/>
      <c r="N64" s="104"/>
      <c r="O64" s="77"/>
      <c r="P64" s="106"/>
      <c r="Q64" s="102"/>
      <c r="R64" s="77"/>
    </row>
    <row r="65">
      <c r="A65" s="131" t="s">
        <v>315</v>
      </c>
      <c r="B65" s="133"/>
      <c r="C65" s="134"/>
      <c r="D65" s="134"/>
      <c r="E65" s="99">
        <f t="shared" si="39"/>
        <v>0</v>
      </c>
      <c r="F65" s="101"/>
      <c r="G65" s="99"/>
      <c r="H65" s="102" t="str">
        <f t="shared" si="37"/>
        <v/>
      </c>
      <c r="I65" s="77"/>
      <c r="J65" s="135"/>
      <c r="K65" s="136"/>
      <c r="L65" s="105"/>
      <c r="M65" s="135"/>
      <c r="N65" s="136"/>
      <c r="O65" s="77"/>
      <c r="P65" s="134"/>
      <c r="Q65" s="137"/>
      <c r="R65" s="77"/>
    </row>
    <row r="66">
      <c r="A66" s="131" t="s">
        <v>316</v>
      </c>
      <c r="B66" s="133">
        <v>38570.2</v>
      </c>
      <c r="C66" s="134"/>
      <c r="D66" s="134"/>
      <c r="E66" s="99">
        <f t="shared" si="39"/>
        <v>38570.2</v>
      </c>
      <c r="F66" s="101"/>
      <c r="G66" s="99"/>
      <c r="H66" s="102" t="str">
        <f t="shared" si="37"/>
        <v/>
      </c>
      <c r="I66" s="77"/>
      <c r="J66" s="135"/>
      <c r="K66" s="136"/>
      <c r="L66" s="105"/>
      <c r="M66" s="135"/>
      <c r="N66" s="136"/>
      <c r="O66" s="77"/>
      <c r="P66" s="134"/>
      <c r="Q66" s="137"/>
      <c r="R66" s="77"/>
    </row>
    <row r="67">
      <c r="A67" s="131" t="s">
        <v>317</v>
      </c>
      <c r="B67" s="133">
        <v>23333.32</v>
      </c>
      <c r="C67" s="134"/>
      <c r="D67" s="134"/>
      <c r="E67" s="99">
        <f t="shared" si="39"/>
        <v>23333.32</v>
      </c>
      <c r="F67" s="101"/>
      <c r="G67" s="99"/>
      <c r="H67" s="137"/>
      <c r="I67" s="77"/>
      <c r="J67" s="135"/>
      <c r="K67" s="136"/>
      <c r="L67" s="105"/>
      <c r="M67" s="135"/>
      <c r="N67" s="136"/>
      <c r="O67" s="77"/>
      <c r="P67" s="134"/>
      <c r="Q67" s="137"/>
      <c r="R67" s="77"/>
    </row>
    <row r="68">
      <c r="A68" s="131" t="s">
        <v>318</v>
      </c>
      <c r="B68" s="99">
        <v>5686.25</v>
      </c>
      <c r="C68" s="134"/>
      <c r="D68" s="134"/>
      <c r="E68" s="99">
        <f t="shared" si="39"/>
        <v>5686.25</v>
      </c>
      <c r="F68" s="101"/>
      <c r="G68" s="99"/>
      <c r="H68" s="137" t="str">
        <f t="shared" ref="H68:H70" si="40">IFERROR(E68/G68,"")</f>
        <v/>
      </c>
      <c r="I68" s="77"/>
      <c r="J68" s="135"/>
      <c r="K68" s="136"/>
      <c r="L68" s="105"/>
      <c r="M68" s="135"/>
      <c r="N68" s="136"/>
      <c r="O68" s="77"/>
      <c r="P68" s="134"/>
      <c r="Q68" s="137"/>
      <c r="R68" s="77"/>
    </row>
    <row r="69">
      <c r="A69" s="139" t="s">
        <v>319</v>
      </c>
      <c r="B69" s="140">
        <v>13036.0</v>
      </c>
      <c r="C69" s="141"/>
      <c r="D69" s="141"/>
      <c r="E69" s="142">
        <f t="shared" si="39"/>
        <v>13036</v>
      </c>
      <c r="F69" s="143"/>
      <c r="G69" s="144"/>
      <c r="H69" s="145" t="str">
        <f t="shared" si="40"/>
        <v/>
      </c>
      <c r="I69" s="143"/>
      <c r="J69" s="146"/>
      <c r="K69" s="147"/>
      <c r="L69" s="148"/>
      <c r="M69" s="146"/>
      <c r="N69" s="147"/>
      <c r="O69" s="143"/>
      <c r="P69" s="149"/>
      <c r="Q69" s="150"/>
      <c r="R69" s="143"/>
    </row>
    <row r="70">
      <c r="A70" s="131" t="s">
        <v>320</v>
      </c>
      <c r="B70" s="151">
        <v>360.0</v>
      </c>
      <c r="C70" s="152"/>
      <c r="D70" s="152"/>
      <c r="E70" s="153">
        <f t="shared" si="39"/>
        <v>360</v>
      </c>
      <c r="F70" s="143"/>
      <c r="G70" s="153"/>
      <c r="H70" s="154" t="str">
        <f t="shared" si="40"/>
        <v/>
      </c>
      <c r="I70" s="77"/>
      <c r="J70" s="135"/>
      <c r="K70" s="136"/>
      <c r="L70" s="105"/>
      <c r="M70" s="135"/>
      <c r="N70" s="136"/>
      <c r="O70" s="77"/>
      <c r="P70" s="134"/>
      <c r="Q70" s="137"/>
      <c r="R70" s="77"/>
    </row>
    <row r="71">
      <c r="A71" s="128" t="s">
        <v>321</v>
      </c>
      <c r="B71" s="134">
        <f t="shared" ref="B71:C71" si="41">SUM(B45:B70)</f>
        <v>418975.56</v>
      </c>
      <c r="C71" s="134">
        <f t="shared" si="41"/>
        <v>367332.93</v>
      </c>
      <c r="D71" s="134">
        <f>SUM(D45:D61)</f>
        <v>0</v>
      </c>
      <c r="E71" s="134">
        <f>SUM(E45:E70)</f>
        <v>786308.49</v>
      </c>
      <c r="F71" s="143"/>
      <c r="G71" s="134">
        <f>SUM(G45:G70)</f>
        <v>5812842</v>
      </c>
      <c r="H71" s="155">
        <f>IFERROR($E71/G71,"")</f>
        <v>0.1352709208</v>
      </c>
      <c r="I71" s="77"/>
      <c r="J71" s="110">
        <f>SUM(J45:J48)</f>
        <v>0</v>
      </c>
      <c r="K71" s="111" t="str">
        <f>IFERROR($E71/J71,"")</f>
        <v/>
      </c>
      <c r="L71" s="105"/>
      <c r="M71" s="110">
        <f>SUM(M45:M48)</f>
        <v>0</v>
      </c>
      <c r="N71" s="111" t="str">
        <f>IFERROR($E71/M71,"")</f>
        <v/>
      </c>
      <c r="O71" s="77"/>
      <c r="P71" s="108">
        <f>SUM(P45:P48)</f>
        <v>0</v>
      </c>
      <c r="Q71" s="112" t="str">
        <f>IFERROR($E71/P71,"")</f>
        <v/>
      </c>
      <c r="R71" s="77"/>
    </row>
    <row r="72">
      <c r="A72" s="128" t="s">
        <v>322</v>
      </c>
      <c r="B72" s="100"/>
      <c r="C72" s="100"/>
      <c r="D72" s="100"/>
      <c r="E72" s="99"/>
      <c r="F72" s="143"/>
      <c r="G72" s="99"/>
      <c r="H72" s="102"/>
      <c r="I72" s="77"/>
      <c r="J72" s="103"/>
      <c r="K72" s="104"/>
      <c r="L72" s="105"/>
      <c r="M72" s="103"/>
      <c r="N72" s="104" t="str">
        <f>IFERROR(K72/M72,"")</f>
        <v/>
      </c>
      <c r="O72" s="77"/>
      <c r="P72" s="106"/>
      <c r="Q72" s="102"/>
      <c r="R72" s="77"/>
    </row>
    <row r="73">
      <c r="A73" s="131" t="s">
        <v>323</v>
      </c>
      <c r="B73" s="99">
        <v>58701.28</v>
      </c>
      <c r="C73" s="156">
        <f>58688.52+44468.19</f>
        <v>103156.71</v>
      </c>
      <c r="D73" s="100"/>
      <c r="E73" s="157">
        <f t="shared" ref="E73:E76" si="42">SUM(B73:D73)</f>
        <v>161857.99</v>
      </c>
      <c r="F73" s="143"/>
      <c r="G73" s="99"/>
      <c r="H73" s="102" t="str">
        <f t="shared" ref="H73:H76" si="43">IFERROR(E73/G73,"")</f>
        <v/>
      </c>
      <c r="I73" s="77"/>
      <c r="J73" s="103" t="str">
        <f>IFERROR(__xludf.DUMMYFUNCTION("IFERROR(SUMPRODUCT(FILTER('FY22 Budget'!$F$2:$AC$71,'FY22 Budget'!$C$2:$C$71=$F73),'FY22 Budget'!$F$1:$AC$1&lt;=$K$4),"""")"),"")</f>
        <v/>
      </c>
      <c r="K73" s="104" t="str">
        <f t="shared" ref="K73:K77" si="44">IFERROR($E73/J73,"")</f>
        <v/>
      </c>
      <c r="L73" s="105"/>
      <c r="M73" s="103">
        <f>IFNA(VLOOKUP($F73,'FY22 Budget Update'!$C:$E,3,false),0)</f>
        <v>0</v>
      </c>
      <c r="N73" s="104" t="str">
        <f t="shared" ref="N73:N77" si="45">IFERROR($E73/M73,"")</f>
        <v/>
      </c>
      <c r="O73" s="77"/>
      <c r="P73" s="106" t="str">
        <f>IFERROR(__xludf.DUMMYFUNCTION("IFERROR(SUMPRODUCT(FILTER('FY22 Budget Update'!$F$2:$AC$72,'FY22 Budget Update'!$C$2:$C$72=$F73),'FY22 Budget Update'!$F$1:$AC$1&lt;=$K$4),"""")"),"")</f>
        <v/>
      </c>
      <c r="Q73" s="102" t="str">
        <f t="shared" ref="Q73:Q77" si="46">IFERROR($E73/P73,"")</f>
        <v/>
      </c>
      <c r="R73" s="77"/>
    </row>
    <row r="74">
      <c r="A74" s="131" t="s">
        <v>324</v>
      </c>
      <c r="B74" s="99">
        <v>25528.56</v>
      </c>
      <c r="C74" s="115">
        <v>25172.59</v>
      </c>
      <c r="D74" s="100"/>
      <c r="E74" s="157">
        <f t="shared" si="42"/>
        <v>50701.15</v>
      </c>
      <c r="F74" s="143"/>
      <c r="G74" s="99"/>
      <c r="H74" s="102" t="str">
        <f t="shared" si="43"/>
        <v/>
      </c>
      <c r="I74" s="77"/>
      <c r="J74" s="103" t="str">
        <f>IFERROR(__xludf.DUMMYFUNCTION("IFERROR(SUMPRODUCT(FILTER('FY22 Budget'!$F$2:$AC$71,'FY22 Budget'!$C$2:$C$71=$F74),'FY22 Budget'!$F$1:$AC$1&lt;=$K$4),"""")"),"")</f>
        <v/>
      </c>
      <c r="K74" s="104" t="str">
        <f t="shared" si="44"/>
        <v/>
      </c>
      <c r="L74" s="105"/>
      <c r="M74" s="103">
        <f>IFNA(VLOOKUP($F74,'FY22 Budget Update'!$C:$E,3,false),0)</f>
        <v>0</v>
      </c>
      <c r="N74" s="104" t="str">
        <f t="shared" si="45"/>
        <v/>
      </c>
      <c r="O74" s="77"/>
      <c r="P74" s="106" t="str">
        <f>IFERROR(__xludf.DUMMYFUNCTION("IFERROR(SUMPRODUCT(FILTER('FY22 Budget Update'!$F$2:$AC$72,'FY22 Budget Update'!$C$2:$C$72=$F74),'FY22 Budget Update'!$F$1:$AC$1&lt;=$K$4),"""")"),"")</f>
        <v/>
      </c>
      <c r="Q74" s="102" t="str">
        <f t="shared" si="46"/>
        <v/>
      </c>
      <c r="R74" s="77"/>
    </row>
    <row r="75">
      <c r="A75" s="131" t="s">
        <v>325</v>
      </c>
      <c r="B75" s="99">
        <v>5970.36</v>
      </c>
      <c r="C75" s="115">
        <v>5887.14</v>
      </c>
      <c r="D75" s="100"/>
      <c r="E75" s="157">
        <f t="shared" si="42"/>
        <v>11857.5</v>
      </c>
      <c r="F75" s="143"/>
      <c r="G75" s="99"/>
      <c r="H75" s="102" t="str">
        <f t="shared" si="43"/>
        <v/>
      </c>
      <c r="I75" s="77"/>
      <c r="J75" s="103" t="str">
        <f>IFERROR(__xludf.DUMMYFUNCTION("IFERROR(SUMPRODUCT(FILTER('FY22 Budget'!$F$2:$AC$71,'FY22 Budget'!$C$2:$C$71=$F75),'FY22 Budget'!$F$1:$AC$1&lt;=$K$4),"""")"),"")</f>
        <v/>
      </c>
      <c r="K75" s="104" t="str">
        <f t="shared" si="44"/>
        <v/>
      </c>
      <c r="L75" s="105"/>
      <c r="M75" s="103">
        <f>IFNA(VLOOKUP($F75,'FY22 Budget Update'!$C:$E,3,false),0)</f>
        <v>0</v>
      </c>
      <c r="N75" s="104" t="str">
        <f t="shared" si="45"/>
        <v/>
      </c>
      <c r="O75" s="77"/>
      <c r="P75" s="106" t="str">
        <f>IFERROR(__xludf.DUMMYFUNCTION("IFERROR(SUMPRODUCT(FILTER('FY22 Budget Update'!$F$2:$AC$72,'FY22 Budget Update'!$C$2:$C$72=$F75),'FY22 Budget Update'!$F$1:$AC$1&lt;=$K$4),"""")"),"")</f>
        <v/>
      </c>
      <c r="Q75" s="102" t="str">
        <f t="shared" si="46"/>
        <v/>
      </c>
      <c r="R75" s="77"/>
    </row>
    <row r="76">
      <c r="A76" s="131" t="s">
        <v>326</v>
      </c>
      <c r="B76" s="99">
        <f>23040.73+14096+16189.14</f>
        <v>53325.87</v>
      </c>
      <c r="C76" s="115">
        <v>31210.82</v>
      </c>
      <c r="D76" s="100"/>
      <c r="E76" s="157">
        <f t="shared" si="42"/>
        <v>84536.69</v>
      </c>
      <c r="F76" s="143"/>
      <c r="G76" s="99"/>
      <c r="H76" s="102" t="str">
        <f t="shared" si="43"/>
        <v/>
      </c>
      <c r="I76" s="77"/>
      <c r="J76" s="103" t="str">
        <f>IFERROR(__xludf.DUMMYFUNCTION("IFERROR(SUMPRODUCT(FILTER('FY22 Budget'!$F$2:$AC$71,'FY22 Budget'!$C$2:$C$71=$F76),'FY22 Budget'!$F$1:$AC$1&lt;=$K$4),"""")"),"")</f>
        <v/>
      </c>
      <c r="K76" s="104" t="str">
        <f t="shared" si="44"/>
        <v/>
      </c>
      <c r="L76" s="105"/>
      <c r="M76" s="103">
        <f>IFNA(VLOOKUP($F76,'FY22 Budget Update'!$C:$E,3,false),0)</f>
        <v>0</v>
      </c>
      <c r="N76" s="104" t="str">
        <f t="shared" si="45"/>
        <v/>
      </c>
      <c r="O76" s="77"/>
      <c r="P76" s="106" t="str">
        <f>IFERROR(__xludf.DUMMYFUNCTION("IFERROR(SUMPRODUCT(FILTER('FY22 Budget Update'!$F$2:$AC$72,'FY22 Budget Update'!$C$2:$C$72=$F76),'FY22 Budget Update'!$F$1:$AC$1&lt;=$K$4),"""")"),"")</f>
        <v/>
      </c>
      <c r="Q76" s="102" t="str">
        <f t="shared" si="46"/>
        <v/>
      </c>
      <c r="R76" s="77"/>
    </row>
    <row r="77">
      <c r="A77" s="128" t="s">
        <v>327</v>
      </c>
      <c r="B77" s="108">
        <f t="shared" ref="B77:C77" si="47">SUM(B73:B76)</f>
        <v>143526.07</v>
      </c>
      <c r="C77" s="108">
        <f t="shared" si="47"/>
        <v>165427.26</v>
      </c>
      <c r="D77" s="108">
        <f>((((D72)+(D73))+(D74))+(D75))+(D76)</f>
        <v>0</v>
      </c>
      <c r="E77" s="108">
        <f>SUM(E73:E76)</f>
        <v>308953.33</v>
      </c>
      <c r="F77" s="143"/>
      <c r="G77" s="107">
        <v>1748572.0</v>
      </c>
      <c r="H77" s="117">
        <f>IFERROR($E77/G77,"")</f>
        <v>0.1766889382</v>
      </c>
      <c r="I77" s="77"/>
      <c r="J77" s="110">
        <f>SUM(J73:J76)</f>
        <v>0</v>
      </c>
      <c r="K77" s="111" t="str">
        <f t="shared" si="44"/>
        <v/>
      </c>
      <c r="L77" s="105"/>
      <c r="M77" s="110">
        <f>SUM(M73:M76)</f>
        <v>0</v>
      </c>
      <c r="N77" s="111" t="str">
        <f t="shared" si="45"/>
        <v/>
      </c>
      <c r="O77" s="77"/>
      <c r="P77" s="108">
        <f>SUM(P73:P76)</f>
        <v>0</v>
      </c>
      <c r="Q77" s="112" t="str">
        <f t="shared" si="46"/>
        <v/>
      </c>
      <c r="R77" s="77"/>
    </row>
    <row r="78">
      <c r="A78" s="158" t="s">
        <v>328</v>
      </c>
      <c r="B78" s="100"/>
      <c r="C78" s="100"/>
      <c r="D78" s="100"/>
      <c r="E78" s="106"/>
      <c r="F78" s="101" t="str">
        <f t="shared" ref="F78:F80" si="48">LEFT(TRIM(A78),9)</f>
        <v>0000-6XXX</v>
      </c>
      <c r="G78" s="106"/>
      <c r="H78" s="102" t="str">
        <f t="shared" ref="H78:H83" si="49">IFERROR(E78/G78,"")</f>
        <v/>
      </c>
      <c r="I78" s="77"/>
      <c r="J78" s="103"/>
      <c r="K78" s="104"/>
      <c r="L78" s="105"/>
      <c r="M78" s="103"/>
      <c r="N78" s="104" t="str">
        <f>IFERROR(K78/M78,"")</f>
        <v/>
      </c>
      <c r="O78" s="77"/>
      <c r="P78" s="106"/>
      <c r="Q78" s="102"/>
      <c r="R78" s="77"/>
    </row>
    <row r="79">
      <c r="A79" s="158" t="s">
        <v>329</v>
      </c>
      <c r="B79" s="113">
        <v>33725.0</v>
      </c>
      <c r="C79" s="100"/>
      <c r="D79" s="100"/>
      <c r="E79" s="99">
        <f t="shared" ref="E79:E86" si="50">SUM(B79:D79)</f>
        <v>33725</v>
      </c>
      <c r="F79" s="101" t="str">
        <f t="shared" si="48"/>
        <v>2213-6319</v>
      </c>
      <c r="G79" s="99"/>
      <c r="H79" s="102" t="str">
        <f t="shared" si="49"/>
        <v/>
      </c>
      <c r="I79" s="77"/>
      <c r="J79" s="103">
        <f>IFERROR(__xludf.DUMMYFUNCTION("IFERROR(SUMPRODUCT(FILTER('FY22 Budget'!$F$2:$AC$71,'FY22 Budget'!$C$2:$C$71=$F79),'FY22 Budget'!$F$1:$AC$1&lt;=$K$4),"""")"),3000.0)</f>
        <v>3000</v>
      </c>
      <c r="K79" s="104">
        <f t="shared" ref="K79:K80" si="51">IFERROR($E79/J79,"")</f>
        <v>11.24166667</v>
      </c>
      <c r="L79" s="105"/>
      <c r="M79" s="103">
        <f>IFNA(VLOOKUP($F79,'FY22 Budget Update'!$C:$E,3,false),0)</f>
        <v>66826.68</v>
      </c>
      <c r="N79" s="104">
        <f t="shared" ref="N79:N80" si="52">IFERROR($E79/M79,"")</f>
        <v>0.5046637062</v>
      </c>
      <c r="O79" s="77"/>
      <c r="P79" s="106">
        <f>IFERROR(__xludf.DUMMYFUNCTION("IFERROR(SUMPRODUCT(FILTER('FY22 Budget Update'!$F$2:$AC$72,'FY22 Budget Update'!$C$2:$C$72=$F79),'FY22 Budget Update'!$F$1:$AC$1&lt;=$K$4),"""")"),66826.68)</f>
        <v>66826.68</v>
      </c>
      <c r="Q79" s="102">
        <f t="shared" ref="Q79:Q80" si="53">IFERROR($E79/P79,"")</f>
        <v>0.5046637062</v>
      </c>
      <c r="R79" s="77"/>
    </row>
    <row r="80">
      <c r="A80" s="158" t="s">
        <v>330</v>
      </c>
      <c r="B80" s="113">
        <v>8046.22</v>
      </c>
      <c r="C80" s="100"/>
      <c r="D80" s="100"/>
      <c r="E80" s="99">
        <f t="shared" si="50"/>
        <v>8046.22</v>
      </c>
      <c r="F80" s="101" t="str">
        <f t="shared" si="48"/>
        <v>2213-6343</v>
      </c>
      <c r="G80" s="99"/>
      <c r="H80" s="102" t="str">
        <f t="shared" si="49"/>
        <v/>
      </c>
      <c r="I80" s="77"/>
      <c r="J80" s="103">
        <f>IFERROR(__xludf.DUMMYFUNCTION("IFERROR(SUMPRODUCT(FILTER('FY22 Budget'!$F$2:$AC$71,'FY22 Budget'!$C$2:$C$71=$F80),'FY22 Budget'!$F$1:$AC$1&lt;=$K$4),"""")"),6400.0)</f>
        <v>6400</v>
      </c>
      <c r="K80" s="104">
        <f t="shared" si="51"/>
        <v>1.257221875</v>
      </c>
      <c r="L80" s="105"/>
      <c r="M80" s="103">
        <f>IFNA(VLOOKUP($F80,'FY22 Budget Update'!$C:$E,3,false),0)</f>
        <v>1000</v>
      </c>
      <c r="N80" s="104">
        <f t="shared" si="52"/>
        <v>8.04622</v>
      </c>
      <c r="O80" s="77"/>
      <c r="P80" s="106">
        <f>IFERROR(__xludf.DUMMYFUNCTION("IFERROR(SUMPRODUCT(FILTER('FY22 Budget Update'!$F$2:$AC$72,'FY22 Budget Update'!$C$2:$C$72=$F80),'FY22 Budget Update'!$F$1:$AC$1&lt;=$K$4),"""")"),1000.0)</f>
        <v>1000</v>
      </c>
      <c r="Q80" s="102">
        <f t="shared" si="53"/>
        <v>8.04622</v>
      </c>
      <c r="R80" s="77"/>
    </row>
    <row r="81">
      <c r="A81" s="159" t="s">
        <v>331</v>
      </c>
      <c r="B81" s="113">
        <v>133.88</v>
      </c>
      <c r="C81" s="100"/>
      <c r="D81" s="100"/>
      <c r="E81" s="99">
        <f t="shared" si="50"/>
        <v>133.88</v>
      </c>
      <c r="F81" s="101"/>
      <c r="G81" s="99"/>
      <c r="H81" s="102" t="str">
        <f t="shared" si="49"/>
        <v/>
      </c>
      <c r="I81" s="77"/>
      <c r="J81" s="103"/>
      <c r="K81" s="104"/>
      <c r="L81" s="105"/>
      <c r="M81" s="103"/>
      <c r="N81" s="104"/>
      <c r="O81" s="105"/>
      <c r="P81" s="103"/>
      <c r="Q81" s="104"/>
      <c r="R81" s="77"/>
    </row>
    <row r="82">
      <c r="A82" s="158" t="s">
        <v>332</v>
      </c>
      <c r="B82" s="113"/>
      <c r="C82" s="100"/>
      <c r="D82" s="100"/>
      <c r="E82" s="99">
        <f t="shared" si="50"/>
        <v>0</v>
      </c>
      <c r="F82" s="101" t="str">
        <f t="shared" ref="F82:F83" si="54">LEFT(TRIM(A82),9)</f>
        <v>2323-6319</v>
      </c>
      <c r="G82" s="99"/>
      <c r="H82" s="102" t="str">
        <f t="shared" si="49"/>
        <v/>
      </c>
      <c r="I82" s="77"/>
      <c r="J82" s="103" t="str">
        <f>IFERROR(__xludf.DUMMYFUNCTION("IFERROR(SUMPRODUCT(FILTER('FY22 Budget'!$F$2:$AC$71,'FY22 Budget'!$C$2:$C$71=$F82),'FY22 Budget'!$F$1:$AC$1&lt;=$K$4),"""")"),"")</f>
        <v/>
      </c>
      <c r="K82" s="104" t="str">
        <f t="shared" ref="K82:K83" si="55">IFERROR($E82/J82,"")</f>
        <v/>
      </c>
      <c r="L82" s="105"/>
      <c r="M82" s="103">
        <f>IFNA(VLOOKUP($F82,'FY22 Budget Update'!$C:$E,3,false),0)</f>
        <v>0</v>
      </c>
      <c r="N82" s="104" t="str">
        <f>IFERROR(K82/M82,"")</f>
        <v/>
      </c>
      <c r="O82" s="105"/>
      <c r="P82" s="103" t="str">
        <f>IFERROR(__xludf.DUMMYFUNCTION("IFERROR(SUMPRODUCT(FILTER('FY22 Budget Update'!$F$2:$AC$72,'FY22 Budget Update'!$C$2:$C$72=$F82),'FY22 Budget Update'!$F$1:$AC$1&lt;=$K$4),"""")"),"")</f>
        <v/>
      </c>
      <c r="Q82" s="104" t="str">
        <f t="shared" ref="Q82:Q83" si="56">IFERROR($E82/P82,"")</f>
        <v/>
      </c>
      <c r="R82" s="77"/>
    </row>
    <row r="83">
      <c r="A83" s="158" t="s">
        <v>333</v>
      </c>
      <c r="B83" s="113">
        <v>142.83</v>
      </c>
      <c r="C83" s="100"/>
      <c r="D83" s="100"/>
      <c r="E83" s="99">
        <f t="shared" si="50"/>
        <v>142.83</v>
      </c>
      <c r="F83" s="101" t="str">
        <f t="shared" si="54"/>
        <v>2323-6411</v>
      </c>
      <c r="G83" s="99"/>
      <c r="H83" s="102" t="str">
        <f t="shared" si="49"/>
        <v/>
      </c>
      <c r="I83" s="77"/>
      <c r="J83" s="103">
        <f>IFERROR(__xludf.DUMMYFUNCTION("IFERROR(SUMPRODUCT(FILTER('FY22 Budget'!$F$2:$AC$71,'FY22 Budget'!$C$2:$C$71=$F83),'FY22 Budget'!$F$1:$AC$1&lt;=$K$4),"""")"),5232.0)</f>
        <v>5232</v>
      </c>
      <c r="K83" s="104">
        <f t="shared" si="55"/>
        <v>0.02729931193</v>
      </c>
      <c r="L83" s="105"/>
      <c r="M83" s="103">
        <f>IFNA(VLOOKUP($F83,'FY22 Budget Update'!$C:$E,3,false),0)</f>
        <v>5232</v>
      </c>
      <c r="N83" s="104">
        <f>IFERROR($E83/M83,"")</f>
        <v>0.02729931193</v>
      </c>
      <c r="O83" s="105"/>
      <c r="P83" s="103">
        <f>IFERROR(__xludf.DUMMYFUNCTION("IFERROR(SUMPRODUCT(FILTER('FY22 Budget Update'!$F$2:$AC$72,'FY22 Budget Update'!$C$2:$C$72=$F83),'FY22 Budget Update'!$F$1:$AC$1&lt;=$K$4),"""")"),5232.0)</f>
        <v>5232</v>
      </c>
      <c r="Q83" s="104">
        <f t="shared" si="56"/>
        <v>0.02729931193</v>
      </c>
      <c r="R83" s="77"/>
    </row>
    <row r="84">
      <c r="A84" s="160" t="s">
        <v>334</v>
      </c>
      <c r="B84" s="113">
        <v>3874.49</v>
      </c>
      <c r="C84" s="134"/>
      <c r="D84" s="134"/>
      <c r="E84" s="99">
        <f t="shared" si="50"/>
        <v>3874.49</v>
      </c>
      <c r="F84" s="101"/>
      <c r="G84" s="161"/>
      <c r="H84" s="102"/>
      <c r="I84" s="77"/>
      <c r="J84" s="135"/>
      <c r="K84" s="136"/>
      <c r="L84" s="105"/>
      <c r="M84" s="135"/>
      <c r="N84" s="136"/>
      <c r="O84" s="105"/>
      <c r="P84" s="135"/>
      <c r="Q84" s="136"/>
      <c r="R84" s="77"/>
    </row>
    <row r="85">
      <c r="A85" s="160" t="s">
        <v>335</v>
      </c>
      <c r="B85" s="113">
        <v>939.38</v>
      </c>
      <c r="C85" s="134"/>
      <c r="D85" s="134"/>
      <c r="E85" s="99">
        <f t="shared" si="50"/>
        <v>939.38</v>
      </c>
      <c r="F85" s="101"/>
      <c r="G85" s="161"/>
      <c r="H85" s="102"/>
      <c r="I85" s="77"/>
      <c r="J85" s="135"/>
      <c r="K85" s="136"/>
      <c r="L85" s="105"/>
      <c r="M85" s="135"/>
      <c r="N85" s="136"/>
      <c r="O85" s="105"/>
      <c r="P85" s="135"/>
      <c r="Q85" s="136"/>
      <c r="R85" s="77"/>
    </row>
    <row r="86">
      <c r="A86" s="160" t="s">
        <v>336</v>
      </c>
      <c r="B86" s="162"/>
      <c r="C86" s="134"/>
      <c r="D86" s="134"/>
      <c r="E86" s="99">
        <f t="shared" si="50"/>
        <v>0</v>
      </c>
      <c r="F86" s="101"/>
      <c r="G86" s="161"/>
      <c r="H86" s="102" t="str">
        <f>IFERROR(E86/G86,"")</f>
        <v/>
      </c>
      <c r="I86" s="77"/>
      <c r="J86" s="135"/>
      <c r="K86" s="136"/>
      <c r="L86" s="105"/>
      <c r="M86" s="135"/>
      <c r="N86" s="136"/>
      <c r="O86" s="105"/>
      <c r="P86" s="135"/>
      <c r="Q86" s="136"/>
      <c r="R86" s="77"/>
    </row>
    <row r="87">
      <c r="A87" s="158" t="s">
        <v>337</v>
      </c>
      <c r="B87" s="108">
        <f>SUM(B79:B86)</f>
        <v>46861.8</v>
      </c>
      <c r="C87" s="108">
        <f t="shared" ref="C87:D87" si="57">((((C78)+(C79))+(C80))+(C82))+(C83)</f>
        <v>0</v>
      </c>
      <c r="D87" s="108">
        <f t="shared" si="57"/>
        <v>0</v>
      </c>
      <c r="E87" s="108">
        <f>((B87)+(C87))+(D87)</f>
        <v>46861.8</v>
      </c>
      <c r="F87" s="101" t="str">
        <f t="shared" ref="F87:F94" si="58">LEFT(TRIM(A87),9)</f>
        <v>Total 000</v>
      </c>
      <c r="G87" s="107">
        <v>153016.0</v>
      </c>
      <c r="H87" s="121">
        <f>IFERROR($E87/G87,"")</f>
        <v>0.3062542479</v>
      </c>
      <c r="I87" s="77"/>
      <c r="J87" s="110">
        <f>SUM(J79:J83)</f>
        <v>14632</v>
      </c>
      <c r="K87" s="111">
        <f>IFERROR($E87/J87,"")</f>
        <v>3.202692728</v>
      </c>
      <c r="L87" s="105"/>
      <c r="M87" s="110">
        <f>SUM(M79:M83)</f>
        <v>73058.68</v>
      </c>
      <c r="N87" s="111">
        <f>IFERROR($E87/M87,"")</f>
        <v>0.641426864</v>
      </c>
      <c r="O87" s="105"/>
      <c r="P87" s="110">
        <f>SUM(P79:P83)</f>
        <v>73058.68</v>
      </c>
      <c r="Q87" s="111">
        <f>IFERROR($E87/P87,"")</f>
        <v>0.641426864</v>
      </c>
      <c r="R87" s="77"/>
    </row>
    <row r="88">
      <c r="A88" s="163" t="s">
        <v>338</v>
      </c>
      <c r="B88" s="100"/>
      <c r="C88" s="100"/>
      <c r="D88" s="100"/>
      <c r="E88" s="106"/>
      <c r="F88" s="101" t="str">
        <f t="shared" si="58"/>
        <v>0000-6XXX</v>
      </c>
      <c r="G88" s="106"/>
      <c r="H88" s="102" t="str">
        <f t="shared" ref="H88:H89" si="59">IFERROR(E88/G88,"")</f>
        <v/>
      </c>
      <c r="I88" s="77"/>
      <c r="J88" s="103"/>
      <c r="K88" s="104"/>
      <c r="L88" s="105"/>
      <c r="M88" s="103"/>
      <c r="N88" s="104" t="str">
        <f>IFERROR(K88/M88,"")</f>
        <v/>
      </c>
      <c r="O88" s="105"/>
      <c r="P88" s="103"/>
      <c r="Q88" s="104"/>
      <c r="R88" s="77"/>
    </row>
    <row r="89">
      <c r="A89" s="163" t="s">
        <v>339</v>
      </c>
      <c r="B89" s="99">
        <v>196368.83</v>
      </c>
      <c r="C89" s="100"/>
      <c r="D89" s="100"/>
      <c r="E89" s="99">
        <f>SUM(B89:D89)</f>
        <v>196368.83</v>
      </c>
      <c r="F89" s="101" t="str">
        <f t="shared" si="58"/>
        <v>2542-6333</v>
      </c>
      <c r="G89" s="99">
        <v>1216950.0</v>
      </c>
      <c r="H89" s="102">
        <f t="shared" si="59"/>
        <v>0.161361461</v>
      </c>
      <c r="I89" s="77"/>
      <c r="J89" s="103">
        <f>IFERROR(__xludf.DUMMYFUNCTION("IFERROR(SUMPRODUCT(FILTER('FY22 Budget'!$F$2:$AC$71,'FY22 Budget'!$C$2:$C$71=$F89),'FY22 Budget'!$F$1:$AC$1&lt;=$K$4),"""")"),694752.96)</f>
        <v>694752.96</v>
      </c>
      <c r="K89" s="104">
        <f t="shared" ref="K89:K90" si="61">IFERROR($E89/J89,"")</f>
        <v>0.2826455464</v>
      </c>
      <c r="L89" s="105"/>
      <c r="M89" s="103">
        <f>IFNA(VLOOKUP($F89,'FY22 Budget Update'!$C:$E,3,false),0)</f>
        <v>885508.55</v>
      </c>
      <c r="N89" s="104">
        <f t="shared" ref="N89:N90" si="62">IFERROR($E89/M89,"")</f>
        <v>0.2217582541</v>
      </c>
      <c r="O89" s="105"/>
      <c r="P89" s="103">
        <f>IFERROR(__xludf.DUMMYFUNCTION("IFERROR(SUMPRODUCT(FILTER('FY22 Budget Update'!$F$2:$AC$72,'FY22 Budget Update'!$C$2:$C$72=$F89),'FY22 Budget Update'!$F$1:$AC$1&lt;=$K$4),"""")"),885508.5499999999)</f>
        <v>885508.55</v>
      </c>
      <c r="Q89" s="104">
        <f t="shared" ref="Q89:Q90" si="63">IFERROR($E89/P89,"")</f>
        <v>0.2217582541</v>
      </c>
      <c r="R89" s="77"/>
    </row>
    <row r="90">
      <c r="A90" s="163" t="s">
        <v>340</v>
      </c>
      <c r="B90" s="108">
        <f t="shared" ref="B90:D90" si="60">(B88)+(B89)</f>
        <v>196368.83</v>
      </c>
      <c r="C90" s="108">
        <f t="shared" si="60"/>
        <v>0</v>
      </c>
      <c r="D90" s="108">
        <f t="shared" si="60"/>
        <v>0</v>
      </c>
      <c r="E90" s="108">
        <f>((B90)+(C90))+(D90)</f>
        <v>196368.83</v>
      </c>
      <c r="F90" s="101" t="str">
        <f t="shared" si="58"/>
        <v>Total 000</v>
      </c>
      <c r="G90" s="108">
        <f>G89</f>
        <v>1216950</v>
      </c>
      <c r="H90" s="117">
        <f>IFERROR($E90/G90,"")</f>
        <v>0.161361461</v>
      </c>
      <c r="I90" s="77"/>
      <c r="J90" s="110">
        <f>J89</f>
        <v>694752.96</v>
      </c>
      <c r="K90" s="111">
        <f t="shared" si="61"/>
        <v>0.2826455464</v>
      </c>
      <c r="L90" s="105"/>
      <c r="M90" s="110">
        <f>M89</f>
        <v>885508.55</v>
      </c>
      <c r="N90" s="111">
        <f t="shared" si="62"/>
        <v>0.2217582541</v>
      </c>
      <c r="O90" s="105"/>
      <c r="P90" s="110">
        <f>P89</f>
        <v>885508.55</v>
      </c>
      <c r="Q90" s="111">
        <f t="shared" si="63"/>
        <v>0.2217582541</v>
      </c>
      <c r="R90" s="77"/>
    </row>
    <row r="91">
      <c r="A91" s="164" t="s">
        <v>341</v>
      </c>
      <c r="B91" s="165">
        <v>511.51</v>
      </c>
      <c r="C91" s="100"/>
      <c r="D91" s="100"/>
      <c r="E91" s="99">
        <f t="shared" ref="E91:E101" si="64">SUM(B91:D91)</f>
        <v>511.51</v>
      </c>
      <c r="F91" s="101" t="str">
        <f t="shared" si="58"/>
        <v>2541-6411</v>
      </c>
      <c r="G91" s="106"/>
      <c r="H91" s="102" t="str">
        <f t="shared" ref="H91:H92" si="65">IFERROR(E91/G91,"")</f>
        <v/>
      </c>
      <c r="I91" s="77"/>
      <c r="J91" s="103"/>
      <c r="K91" s="104"/>
      <c r="L91" s="105"/>
      <c r="M91" s="103"/>
      <c r="N91" s="104" t="str">
        <f t="shared" ref="N91:N92" si="66">IFERROR(K91/M91,"")</f>
        <v/>
      </c>
      <c r="O91" s="105"/>
      <c r="P91" s="103"/>
      <c r="Q91" s="104"/>
      <c r="R91" s="77"/>
    </row>
    <row r="92">
      <c r="A92" s="164" t="s">
        <v>342</v>
      </c>
      <c r="B92" s="113">
        <v>85459.0</v>
      </c>
      <c r="C92" s="100"/>
      <c r="D92" s="100"/>
      <c r="E92" s="99">
        <f t="shared" si="64"/>
        <v>85459</v>
      </c>
      <c r="F92" s="101" t="str">
        <f t="shared" si="58"/>
        <v>2542-6319</v>
      </c>
      <c r="G92" s="99"/>
      <c r="H92" s="102" t="str">
        <f t="shared" si="65"/>
        <v/>
      </c>
      <c r="I92" s="77"/>
      <c r="J92" s="103" t="str">
        <f>IFERROR(__xludf.DUMMYFUNCTION("IFERROR(SUMPRODUCT(FILTER('FY22 Budget'!$F$2:$AC$71,'FY22 Budget'!$C$2:$C$71=$F92),'FY22 Budget'!$F$1:$AC$1&lt;=$K$4),"""")"),"")</f>
        <v/>
      </c>
      <c r="K92" s="104" t="str">
        <f>IFERROR($E92/J92,"")</f>
        <v/>
      </c>
      <c r="L92" s="105"/>
      <c r="M92" s="103">
        <f>IFNA(VLOOKUP($F92,'FY22 Budget Update'!$C:$E,3,false),0)</f>
        <v>0</v>
      </c>
      <c r="N92" s="104" t="str">
        <f t="shared" si="66"/>
        <v/>
      </c>
      <c r="O92" s="77"/>
      <c r="P92" s="106" t="str">
        <f>IFERROR(__xludf.DUMMYFUNCTION("IFERROR(SUMPRODUCT(FILTER('FY22 Budget Update'!$F$2:$AC$72,'FY22 Budget Update'!$C$2:$C$72=$F92),'FY22 Budget Update'!$F$1:$AC$1&lt;=$K$4),"""")"),"")</f>
        <v/>
      </c>
      <c r="Q92" s="102" t="str">
        <f>IFERROR($E92/P92,"")</f>
        <v/>
      </c>
      <c r="R92" s="77"/>
    </row>
    <row r="93">
      <c r="A93" s="164" t="s">
        <v>343</v>
      </c>
      <c r="B93" s="113">
        <v>5926.0</v>
      </c>
      <c r="C93" s="100"/>
      <c r="D93" s="100"/>
      <c r="E93" s="99">
        <f t="shared" si="64"/>
        <v>5926</v>
      </c>
      <c r="F93" s="101" t="str">
        <f t="shared" si="58"/>
        <v>2542-6331</v>
      </c>
      <c r="G93" s="99"/>
      <c r="H93" s="102"/>
      <c r="I93" s="77"/>
      <c r="J93" s="103"/>
      <c r="K93" s="104"/>
      <c r="L93" s="105"/>
      <c r="M93" s="103"/>
      <c r="N93" s="104"/>
      <c r="O93" s="105"/>
      <c r="P93" s="103"/>
      <c r="Q93" s="104"/>
      <c r="R93" s="102"/>
    </row>
    <row r="94">
      <c r="A94" s="163" t="s">
        <v>344</v>
      </c>
      <c r="B94" s="113">
        <v>8753.7</v>
      </c>
      <c r="C94" s="100"/>
      <c r="D94" s="100"/>
      <c r="E94" s="99">
        <f t="shared" si="64"/>
        <v>8753.7</v>
      </c>
      <c r="F94" s="101" t="str">
        <f t="shared" si="58"/>
        <v>2542-6332</v>
      </c>
      <c r="G94" s="99"/>
      <c r="H94" s="102" t="str">
        <f t="shared" ref="H94:H96" si="67">IFERROR(E94/G94,"")</f>
        <v/>
      </c>
      <c r="I94" s="77"/>
      <c r="J94" s="103">
        <f>IFERROR(__xludf.DUMMYFUNCTION("IFERROR(SUMPRODUCT(FILTER('FY22 Budget'!$F$2:$AC$71,'FY22 Budget'!$C$2:$C$71=$F94),'FY22 Budget'!$F$1:$AC$1&lt;=$K$4),"""")"),4350.080000000002)</f>
        <v>4350.08</v>
      </c>
      <c r="K94" s="104">
        <f>IFERROR($E94/J94,"")</f>
        <v>2.01230782</v>
      </c>
      <c r="L94" s="105"/>
      <c r="M94" s="103">
        <f>IFNA(VLOOKUP($F94,'FY22 Budget Update'!$C:$E,3,false),0)</f>
        <v>46714.85</v>
      </c>
      <c r="N94" s="104">
        <f>IFERROR($E94/M94,"")</f>
        <v>0.1873858099</v>
      </c>
      <c r="O94" s="105"/>
      <c r="P94" s="103">
        <f>IFERROR(__xludf.DUMMYFUNCTION("IFERROR(SUMPRODUCT(FILTER('FY22 Budget Update'!$F$2:$AC$72,'FY22 Budget Update'!$C$2:$C$72=$F94),'FY22 Budget Update'!$F$1:$AC$1&lt;=$K$4),"""")"),46714.85)</f>
        <v>46714.85</v>
      </c>
      <c r="Q94" s="104">
        <f>IFERROR($E94/P94,"")</f>
        <v>0.1873858099</v>
      </c>
      <c r="R94" s="102"/>
    </row>
    <row r="95">
      <c r="A95" s="164" t="s">
        <v>345</v>
      </c>
      <c r="B95" s="113">
        <v>155.98</v>
      </c>
      <c r="C95" s="100"/>
      <c r="D95" s="100"/>
      <c r="E95" s="99">
        <f t="shared" si="64"/>
        <v>155.98</v>
      </c>
      <c r="F95" s="101"/>
      <c r="G95" s="99"/>
      <c r="H95" s="102" t="str">
        <f t="shared" si="67"/>
        <v/>
      </c>
      <c r="I95" s="77"/>
      <c r="J95" s="103"/>
      <c r="K95" s="104"/>
      <c r="L95" s="105"/>
      <c r="M95" s="103"/>
      <c r="N95" s="104"/>
      <c r="O95" s="77"/>
      <c r="P95" s="106"/>
      <c r="Q95" s="102"/>
      <c r="R95" s="77"/>
    </row>
    <row r="96">
      <c r="A96" s="163" t="s">
        <v>346</v>
      </c>
      <c r="B96" s="113">
        <v>0.0</v>
      </c>
      <c r="C96" s="100"/>
      <c r="D96" s="100"/>
      <c r="E96" s="99">
        <f t="shared" si="64"/>
        <v>0</v>
      </c>
      <c r="F96" s="101" t="str">
        <f>LEFT(TRIM(A96),9)</f>
        <v>2542-6411</v>
      </c>
      <c r="G96" s="99"/>
      <c r="H96" s="102" t="str">
        <f t="shared" si="67"/>
        <v/>
      </c>
      <c r="I96" s="77"/>
      <c r="J96" s="103">
        <f>IFERROR(__xludf.DUMMYFUNCTION("IFERROR(SUMPRODUCT(FILTER('FY22 Budget'!$F$2:$AC$71,'FY22 Budget'!$C$2:$C$71=$F96),'FY22 Budget'!$F$1:$AC$1&lt;=$K$4),"""")"),602121.32)</f>
        <v>602121.32</v>
      </c>
      <c r="K96" s="104">
        <f>IFERROR($E96/J96,"")</f>
        <v>0</v>
      </c>
      <c r="L96" s="105"/>
      <c r="M96" s="103">
        <f>IFNA(VLOOKUP($F96,'FY22 Budget Update'!$C:$E,3,false),0)</f>
        <v>228291.13</v>
      </c>
      <c r="N96" s="104">
        <f>IFERROR($E96/M96,"")</f>
        <v>0</v>
      </c>
      <c r="O96" s="77"/>
      <c r="P96" s="106">
        <f>IFERROR(__xludf.DUMMYFUNCTION("IFERROR(SUMPRODUCT(FILTER('FY22 Budget Update'!$F$2:$AC$72,'FY22 Budget Update'!$C$2:$C$72=$F96),'FY22 Budget Update'!$F$1:$AC$1&lt;=$K$4),"""")"),228291.13)</f>
        <v>228291.13</v>
      </c>
      <c r="Q96" s="102">
        <f>IFERROR($E96/P96,"")</f>
        <v>0</v>
      </c>
      <c r="R96" s="77"/>
    </row>
    <row r="97">
      <c r="A97" s="164" t="s">
        <v>347</v>
      </c>
      <c r="B97" s="113"/>
      <c r="C97" s="100"/>
      <c r="D97" s="166">
        <v>140701.43</v>
      </c>
      <c r="E97" s="99">
        <f t="shared" si="64"/>
        <v>140701.43</v>
      </c>
      <c r="F97" s="101"/>
      <c r="G97" s="99"/>
      <c r="H97" s="102"/>
      <c r="I97" s="77"/>
      <c r="J97" s="103"/>
      <c r="K97" s="104"/>
      <c r="L97" s="105"/>
      <c r="M97" s="103"/>
      <c r="N97" s="104"/>
      <c r="O97" s="77"/>
      <c r="P97" s="106"/>
      <c r="Q97" s="102"/>
      <c r="R97" s="77"/>
    </row>
    <row r="98">
      <c r="A98" s="167" t="s">
        <v>348</v>
      </c>
      <c r="B98" s="144"/>
      <c r="C98" s="144"/>
      <c r="D98" s="144"/>
      <c r="E98" s="99">
        <f t="shared" si="64"/>
        <v>0</v>
      </c>
      <c r="F98" s="143"/>
      <c r="G98" s="144"/>
      <c r="H98" s="145"/>
      <c r="I98" s="143"/>
      <c r="J98" s="168"/>
      <c r="K98" s="169"/>
      <c r="L98" s="148"/>
      <c r="M98" s="168"/>
      <c r="N98" s="169"/>
      <c r="O98" s="143"/>
      <c r="P98" s="144"/>
      <c r="Q98" s="145"/>
      <c r="R98" s="143"/>
    </row>
    <row r="99">
      <c r="A99" s="167" t="s">
        <v>349</v>
      </c>
      <c r="B99" s="144"/>
      <c r="C99" s="144"/>
      <c r="D99" s="144"/>
      <c r="E99" s="142">
        <f t="shared" si="64"/>
        <v>0</v>
      </c>
      <c r="F99" s="143"/>
      <c r="G99" s="144"/>
      <c r="H99" s="145" t="str">
        <f>IFERROR(E99/G99,"")</f>
        <v/>
      </c>
      <c r="I99" s="143"/>
      <c r="J99" s="170" t="str">
        <f>IFERROR(__xludf.DUMMYFUNCTION("IFERROR(SUMPRODUCT(FILTER('FY22 Budget'!$F$2:$AC$71,'FY22 Budget'!$C$2:$C$71=$F99),'FY22 Budget'!$F$1:$AC$1&lt;=$K$4),"""")"),"")</f>
        <v/>
      </c>
      <c r="K99" s="171" t="str">
        <f>IFERROR($E99/J99,"")</f>
        <v/>
      </c>
      <c r="L99" s="148"/>
      <c r="M99" s="170">
        <f>IFNA(VLOOKUP($F99,'FY22 Budget Update'!$C:$E,3,false),0)</f>
        <v>0</v>
      </c>
      <c r="N99" s="171" t="str">
        <f>IFERROR($E99/M99,"")</f>
        <v/>
      </c>
      <c r="O99" s="143"/>
      <c r="P99" s="172" t="str">
        <f>IFERROR(__xludf.DUMMYFUNCTION("IFERROR(SUMPRODUCT(FILTER('FY22 Budget Update'!$F$2:$AC$72,'FY22 Budget Update'!$C$2:$C$72=$F99),'FY22 Budget Update'!$F$1:$AC$1&lt;=$K$4),"""")"),"")</f>
        <v/>
      </c>
      <c r="Q99" s="173" t="str">
        <f>IFERROR($E99/P99,"")</f>
        <v/>
      </c>
      <c r="R99" s="143"/>
    </row>
    <row r="100">
      <c r="A100" s="164" t="s">
        <v>350</v>
      </c>
      <c r="B100" s="113"/>
      <c r="C100" s="100"/>
      <c r="D100" s="113">
        <v>6690.0</v>
      </c>
      <c r="E100" s="142">
        <f t="shared" si="64"/>
        <v>6690</v>
      </c>
      <c r="F100" s="101"/>
      <c r="G100" s="99"/>
      <c r="H100" s="102"/>
      <c r="I100" s="77"/>
      <c r="J100" s="103"/>
      <c r="K100" s="104"/>
      <c r="L100" s="105"/>
      <c r="M100" s="103"/>
      <c r="N100" s="104"/>
      <c r="O100" s="77"/>
      <c r="P100" s="106"/>
      <c r="Q100" s="102"/>
      <c r="R100" s="77"/>
    </row>
    <row r="101">
      <c r="A101" s="164" t="s">
        <v>351</v>
      </c>
      <c r="B101" s="113"/>
      <c r="C101" s="100"/>
      <c r="D101" s="113">
        <v>55000.0</v>
      </c>
      <c r="E101" s="142">
        <f t="shared" si="64"/>
        <v>55000</v>
      </c>
      <c r="F101" s="101" t="str">
        <f t="shared" ref="F101:F104" si="69">LEFT(TRIM(A101),9)</f>
        <v>40X1-65X1</v>
      </c>
      <c r="G101" s="99"/>
      <c r="H101" s="102" t="str">
        <f>IFERROR(E101/G101,"")</f>
        <v/>
      </c>
      <c r="I101" s="77"/>
      <c r="J101" s="103" t="str">
        <f>IFERROR(__xludf.DUMMYFUNCTION("IFERROR(SUMPRODUCT(FILTER('FY22 Budget'!$F$2:$AC$71,'FY22 Budget'!$C$2:$C$71=$F101),'FY22 Budget'!$F$1:$AC$1&lt;=$K$4),"""")"),"")</f>
        <v/>
      </c>
      <c r="K101" s="104" t="str">
        <f t="shared" ref="K101:K102" si="70">IFERROR($E101/J101,"")</f>
        <v/>
      </c>
      <c r="L101" s="105"/>
      <c r="M101" s="103">
        <f>IFNA(VLOOKUP($F101,'FY22 Budget Update'!$C:$E,3,false),0)</f>
        <v>0</v>
      </c>
      <c r="N101" s="104" t="str">
        <f t="shared" ref="N101:N102" si="71">IFERROR($E101/M101,"")</f>
        <v/>
      </c>
      <c r="O101" s="77"/>
      <c r="P101" s="106" t="str">
        <f>IFERROR(__xludf.DUMMYFUNCTION("IFERROR(SUMPRODUCT(FILTER('FY22 Budget Update'!$F$2:$AC$72,'FY22 Budget Update'!$C$2:$C$72=$F101),'FY22 Budget Update'!$F$1:$AC$1&lt;=$K$4),"""")"),"")</f>
        <v/>
      </c>
      <c r="Q101" s="102" t="str">
        <f t="shared" ref="Q101:Q102" si="72">IFERROR($E101/P101,"")</f>
        <v/>
      </c>
      <c r="R101" s="77"/>
    </row>
    <row r="102">
      <c r="A102" s="163" t="s">
        <v>352</v>
      </c>
      <c r="B102" s="108">
        <f t="shared" ref="B102:E102" si="68">SUM(B91:B101)</f>
        <v>100806.19</v>
      </c>
      <c r="C102" s="108">
        <f t="shared" si="68"/>
        <v>0</v>
      </c>
      <c r="D102" s="108">
        <f t="shared" si="68"/>
        <v>202391.43</v>
      </c>
      <c r="E102" s="108">
        <f t="shared" si="68"/>
        <v>303197.62</v>
      </c>
      <c r="F102" s="101" t="str">
        <f t="shared" si="69"/>
        <v>Total 000</v>
      </c>
      <c r="G102" s="107">
        <v>215168.0</v>
      </c>
      <c r="H102" s="121">
        <f>IFERROR($E102/G102,"")</f>
        <v>1.409120408</v>
      </c>
      <c r="I102" s="77"/>
      <c r="J102" s="110">
        <f>SUM(J92:J101)</f>
        <v>606471.4</v>
      </c>
      <c r="K102" s="111">
        <f t="shared" si="70"/>
        <v>0.4999372106</v>
      </c>
      <c r="L102" s="105"/>
      <c r="M102" s="110">
        <f>SUM(M92:M101)</f>
        <v>275005.98</v>
      </c>
      <c r="N102" s="111">
        <f t="shared" si="71"/>
        <v>1.102512825</v>
      </c>
      <c r="O102" s="105"/>
      <c r="P102" s="110">
        <f>SUM(P92:P101)</f>
        <v>275005.98</v>
      </c>
      <c r="Q102" s="111">
        <f t="shared" si="72"/>
        <v>1.102512825</v>
      </c>
      <c r="R102" s="174"/>
    </row>
    <row r="103">
      <c r="A103" s="175" t="s">
        <v>353</v>
      </c>
      <c r="B103" s="176"/>
      <c r="C103" s="100"/>
      <c r="D103" s="100"/>
      <c r="E103" s="106"/>
      <c r="F103" s="101" t="str">
        <f t="shared" si="69"/>
        <v>0000-6XXX</v>
      </c>
      <c r="G103" s="106"/>
      <c r="H103" s="102" t="str">
        <f t="shared" ref="H103:H104" si="73">IFERROR(E103/G103,"")</f>
        <v/>
      </c>
      <c r="I103" s="77"/>
      <c r="J103" s="103"/>
      <c r="K103" s="104"/>
      <c r="L103" s="105"/>
      <c r="M103" s="103"/>
      <c r="N103" s="104" t="str">
        <f>IFERROR(K103/M103,"")</f>
        <v/>
      </c>
      <c r="O103" s="105"/>
      <c r="P103" s="103"/>
      <c r="Q103" s="104"/>
      <c r="R103" s="77"/>
    </row>
    <row r="104">
      <c r="A104" s="177" t="s">
        <v>354</v>
      </c>
      <c r="B104" s="166">
        <v>26344.6</v>
      </c>
      <c r="C104" s="100"/>
      <c r="D104" s="100"/>
      <c r="E104" s="99">
        <f t="shared" ref="E104:E133" si="74">SUM(B104:D104)</f>
        <v>26344.6</v>
      </c>
      <c r="F104" s="101" t="str">
        <f t="shared" si="69"/>
        <v>1131-6316</v>
      </c>
      <c r="G104" s="99"/>
      <c r="H104" s="102" t="str">
        <f t="shared" si="73"/>
        <v/>
      </c>
      <c r="I104" s="77"/>
      <c r="J104" s="103" t="str">
        <f>IFERROR(__xludf.DUMMYFUNCTION("IFERROR(SUMPRODUCT(FILTER('FY22 Budget'!$F$2:$AC$71,'FY22 Budget'!$C$2:$C$71=$F104),'FY22 Budget'!$F$1:$AC$1&lt;=$K$4),"""")"),"")</f>
        <v/>
      </c>
      <c r="K104" s="104" t="str">
        <f>IFERROR($E104/J104,"")</f>
        <v/>
      </c>
      <c r="L104" s="105"/>
      <c r="M104" s="103">
        <f>IFNA(VLOOKUP($F104,'FY22 Budget Update'!$C:$E,3,false),0)</f>
        <v>0</v>
      </c>
      <c r="N104" s="104" t="str">
        <f>IFERROR($E104/M104,"")</f>
        <v/>
      </c>
      <c r="O104" s="77"/>
      <c r="P104" s="106" t="str">
        <f>IFERROR(__xludf.DUMMYFUNCTION("IFERROR(SUMPRODUCT(FILTER('FY22 Budget Update'!$F$2:$AC$72,'FY22 Budget Update'!$C$2:$C$72=$F104),'FY22 Budget Update'!$F$1:$AC$1&lt;=$K$4),"""")"),"")</f>
        <v/>
      </c>
      <c r="Q104" s="102" t="str">
        <f>IFERROR($E104/P104,"")</f>
        <v/>
      </c>
      <c r="R104" s="77"/>
    </row>
    <row r="105">
      <c r="A105" s="177" t="s">
        <v>355</v>
      </c>
      <c r="B105" s="178">
        <v>85.37</v>
      </c>
      <c r="C105" s="100"/>
      <c r="D105" s="100"/>
      <c r="E105" s="99">
        <f t="shared" si="74"/>
        <v>85.37</v>
      </c>
      <c r="F105" s="101"/>
      <c r="G105" s="99"/>
      <c r="H105" s="102"/>
      <c r="I105" s="77"/>
      <c r="J105" s="103"/>
      <c r="K105" s="104"/>
      <c r="L105" s="105"/>
      <c r="M105" s="103"/>
      <c r="N105" s="104"/>
      <c r="O105" s="77"/>
      <c r="P105" s="106"/>
      <c r="Q105" s="102"/>
      <c r="R105" s="77"/>
    </row>
    <row r="106">
      <c r="A106" s="175" t="s">
        <v>356</v>
      </c>
      <c r="B106" s="178"/>
      <c r="C106" s="100"/>
      <c r="D106" s="100"/>
      <c r="E106" s="99">
        <f t="shared" si="74"/>
        <v>0</v>
      </c>
      <c r="F106" s="101" t="str">
        <f>LEFT(TRIM(A106),9)</f>
        <v>1131-6337</v>
      </c>
      <c r="G106" s="99"/>
      <c r="H106" s="102" t="str">
        <f>IFERROR(E106/G106,"")</f>
        <v/>
      </c>
      <c r="I106" s="77"/>
      <c r="J106" s="103" t="str">
        <f>IFERROR(__xludf.DUMMYFUNCTION("IFERROR(SUMPRODUCT(FILTER('FY22 Budget'!$F$2:$AC$71,'FY22 Budget'!$C$2:$C$71=$F106),'FY22 Budget'!$F$1:$AC$1&lt;=$K$4),"""")"),"")</f>
        <v/>
      </c>
      <c r="K106" s="104" t="str">
        <f>IFERROR($E106/J106,"")</f>
        <v/>
      </c>
      <c r="L106" s="105"/>
      <c r="M106" s="103">
        <f>IFNA(VLOOKUP($F106,'FY22 Budget Update'!$C:$E,3,false),0)</f>
        <v>0</v>
      </c>
      <c r="N106" s="104" t="str">
        <f>IFERROR(K106/M106,"")</f>
        <v/>
      </c>
      <c r="O106" s="77"/>
      <c r="P106" s="106" t="str">
        <f>IFERROR(__xludf.DUMMYFUNCTION("IFERROR(SUMPRODUCT(FILTER('FY22 Budget Update'!$F$2:$AC$72,'FY22 Budget Update'!$C$2:$C$72=$F106),'FY22 Budget Update'!$F$1:$AC$1&lt;=$K$4),"""")"),"")</f>
        <v/>
      </c>
      <c r="Q106" s="102" t="str">
        <f>IFERROR($E106/P106,"")</f>
        <v/>
      </c>
      <c r="R106" s="77"/>
    </row>
    <row r="107">
      <c r="A107" s="177" t="s">
        <v>357</v>
      </c>
      <c r="B107" s="113">
        <v>50750.0</v>
      </c>
      <c r="C107" s="100"/>
      <c r="D107" s="100"/>
      <c r="E107" s="99">
        <f t="shared" si="74"/>
        <v>50750</v>
      </c>
      <c r="F107" s="101"/>
      <c r="G107" s="99"/>
      <c r="H107" s="102"/>
      <c r="I107" s="77"/>
      <c r="J107" s="103"/>
      <c r="K107" s="104"/>
      <c r="L107" s="105"/>
      <c r="M107" s="103"/>
      <c r="N107" s="104"/>
      <c r="O107" s="77"/>
      <c r="P107" s="106"/>
      <c r="Q107" s="102"/>
      <c r="R107" s="77"/>
    </row>
    <row r="108">
      <c r="A108" s="175" t="s">
        <v>358</v>
      </c>
      <c r="B108" s="178">
        <v>1589.1</v>
      </c>
      <c r="C108" s="100"/>
      <c r="D108" s="100"/>
      <c r="E108" s="99">
        <f t="shared" si="74"/>
        <v>1589.1</v>
      </c>
      <c r="F108" s="101" t="str">
        <f t="shared" ref="F108:F110" si="75">LEFT(TRIM(A108),9)</f>
        <v>1131-6411</v>
      </c>
      <c r="G108" s="99"/>
      <c r="H108" s="102" t="str">
        <f t="shared" ref="H108:H113" si="76">IFERROR(E108/G108,"")</f>
        <v/>
      </c>
      <c r="I108" s="77"/>
      <c r="J108" s="103">
        <f>IFERROR(__xludf.DUMMYFUNCTION("IFERROR(SUMPRODUCT(FILTER('FY22 Budget'!$F$2:$AC$71,'FY22 Budget'!$C$2:$C$71=$F108),'FY22 Budget'!$F$1:$AC$1&lt;=$K$4),"""")"),30299.44)</f>
        <v>30299.44</v>
      </c>
      <c r="K108" s="104">
        <f t="shared" ref="K108:K110" si="77">IFERROR($E108/J108,"")</f>
        <v>0.05244651386</v>
      </c>
      <c r="L108" s="105"/>
      <c r="M108" s="103">
        <f>IFNA(VLOOKUP($F108,'FY22 Budget Update'!$C:$E,3,false),0)</f>
        <v>10075.99</v>
      </c>
      <c r="N108" s="104">
        <f t="shared" ref="N108:N110" si="78">IFERROR($E108/M108,"")</f>
        <v>0.1577115499</v>
      </c>
      <c r="O108" s="77"/>
      <c r="P108" s="106">
        <f>IFERROR(__xludf.DUMMYFUNCTION("IFERROR(SUMPRODUCT(FILTER('FY22 Budget Update'!$F$2:$AC$72,'FY22 Budget Update'!$C$2:$C$72=$F108),'FY22 Budget Update'!$F$1:$AC$1&lt;=$K$4),"""")"),10075.99)</f>
        <v>10075.99</v>
      </c>
      <c r="Q108" s="102">
        <f t="shared" ref="Q108:Q110" si="79">IFERROR($E108/P108,"")</f>
        <v>0.1577115499</v>
      </c>
      <c r="R108" s="77"/>
    </row>
    <row r="109">
      <c r="A109" s="175" t="s">
        <v>359</v>
      </c>
      <c r="B109" s="178">
        <v>4269.4</v>
      </c>
      <c r="C109" s="100"/>
      <c r="D109" s="100"/>
      <c r="E109" s="99">
        <f t="shared" si="74"/>
        <v>4269.4</v>
      </c>
      <c r="F109" s="101" t="str">
        <f t="shared" si="75"/>
        <v>1131-6412</v>
      </c>
      <c r="G109" s="99"/>
      <c r="H109" s="102" t="str">
        <f t="shared" si="76"/>
        <v/>
      </c>
      <c r="I109" s="77"/>
      <c r="J109" s="103">
        <f>IFERROR(__xludf.DUMMYFUNCTION("IFERROR(SUMPRODUCT(FILTER('FY22 Budget'!$F$2:$AC$71,'FY22 Budget'!$C$2:$C$71=$F109),'FY22 Budget'!$F$1:$AC$1&lt;=$K$4),"""")"),260899.1)</f>
        <v>260899.1</v>
      </c>
      <c r="K109" s="104">
        <f t="shared" si="77"/>
        <v>0.01636418064</v>
      </c>
      <c r="L109" s="105"/>
      <c r="M109" s="103">
        <f>IFNA(VLOOKUP($F109,'FY22 Budget Update'!$C:$E,3,false),0)</f>
        <v>165270.85</v>
      </c>
      <c r="N109" s="104">
        <f t="shared" si="78"/>
        <v>0.02583274667</v>
      </c>
      <c r="O109" s="77"/>
      <c r="P109" s="106">
        <f>IFERROR(__xludf.DUMMYFUNCTION("IFERROR(SUMPRODUCT(FILTER('FY22 Budget Update'!$F$2:$AC$72,'FY22 Budget Update'!$C$2:$C$72=$F109),'FY22 Budget Update'!$F$1:$AC$1&lt;=$K$4),"""")"),165270.84999999998)</f>
        <v>165270.85</v>
      </c>
      <c r="Q109" s="102">
        <f t="shared" si="79"/>
        <v>0.02583274667</v>
      </c>
      <c r="R109" s="77"/>
    </row>
    <row r="110">
      <c r="A110" s="175" t="s">
        <v>360</v>
      </c>
      <c r="B110" s="178"/>
      <c r="C110" s="156"/>
      <c r="D110" s="100"/>
      <c r="E110" s="99">
        <f t="shared" si="74"/>
        <v>0</v>
      </c>
      <c r="F110" s="101" t="str">
        <f t="shared" si="75"/>
        <v>1131-6431</v>
      </c>
      <c r="G110" s="99"/>
      <c r="H110" s="102" t="str">
        <f t="shared" si="76"/>
        <v/>
      </c>
      <c r="I110" s="77"/>
      <c r="J110" s="103">
        <f>IFERROR(__xludf.DUMMYFUNCTION("IFERROR(SUMPRODUCT(FILTER('FY22 Budget'!$F$2:$AC$71,'FY22 Budget'!$C$2:$C$71=$F110),'FY22 Budget'!$F$1:$AC$1&lt;=$K$4),"""")"),9782.400000000001)</f>
        <v>9782.4</v>
      </c>
      <c r="K110" s="104">
        <f t="shared" si="77"/>
        <v>0</v>
      </c>
      <c r="L110" s="105"/>
      <c r="M110" s="103">
        <f>IFNA(VLOOKUP($F110,'FY22 Budget Update'!$C:$E,3,false),0)</f>
        <v>9782.3</v>
      </c>
      <c r="N110" s="104">
        <f t="shared" si="78"/>
        <v>0</v>
      </c>
      <c r="O110" s="77"/>
      <c r="P110" s="106">
        <f>IFERROR(__xludf.DUMMYFUNCTION("IFERROR(SUMPRODUCT(FILTER('FY22 Budget Update'!$F$2:$AC$72,'FY22 Budget Update'!$C$2:$C$72=$F110),'FY22 Budget Update'!$F$1:$AC$1&lt;=$K$4),"""")"),9782.400000000001)</f>
        <v>9782.4</v>
      </c>
      <c r="Q110" s="102">
        <f t="shared" si="79"/>
        <v>0</v>
      </c>
      <c r="R110" s="77"/>
    </row>
    <row r="111">
      <c r="A111" s="177" t="s">
        <v>361</v>
      </c>
      <c r="B111" s="178"/>
      <c r="C111" s="100"/>
      <c r="D111" s="100"/>
      <c r="E111" s="99">
        <f t="shared" si="74"/>
        <v>0</v>
      </c>
      <c r="F111" s="101"/>
      <c r="G111" s="99"/>
      <c r="H111" s="102" t="str">
        <f t="shared" si="76"/>
        <v/>
      </c>
      <c r="I111" s="77"/>
      <c r="J111" s="103"/>
      <c r="K111" s="104"/>
      <c r="L111" s="105"/>
      <c r="M111" s="103"/>
      <c r="N111" s="104"/>
      <c r="O111" s="77"/>
      <c r="P111" s="106"/>
      <c r="Q111" s="102"/>
      <c r="R111" s="77"/>
    </row>
    <row r="112">
      <c r="A112" s="177" t="s">
        <v>362</v>
      </c>
      <c r="B112" s="178"/>
      <c r="C112" s="100"/>
      <c r="D112" s="100"/>
      <c r="E112" s="99">
        <f t="shared" si="74"/>
        <v>0</v>
      </c>
      <c r="F112" s="101"/>
      <c r="G112" s="99"/>
      <c r="H112" s="102" t="str">
        <f t="shared" si="76"/>
        <v/>
      </c>
      <c r="I112" s="77"/>
      <c r="J112" s="103"/>
      <c r="K112" s="104"/>
      <c r="L112" s="105"/>
      <c r="M112" s="103"/>
      <c r="N112" s="104"/>
      <c r="O112" s="77"/>
      <c r="P112" s="106"/>
      <c r="Q112" s="102"/>
      <c r="R112" s="77"/>
    </row>
    <row r="113">
      <c r="A113" s="177" t="s">
        <v>363</v>
      </c>
      <c r="B113" s="166">
        <v>26344.6</v>
      </c>
      <c r="C113" s="100"/>
      <c r="D113" s="100"/>
      <c r="E113" s="99">
        <f t="shared" si="74"/>
        <v>26344.6</v>
      </c>
      <c r="F113" s="101"/>
      <c r="G113" s="99"/>
      <c r="H113" s="102" t="str">
        <f t="shared" si="76"/>
        <v/>
      </c>
      <c r="I113" s="77"/>
      <c r="J113" s="103"/>
      <c r="K113" s="104"/>
      <c r="L113" s="105"/>
      <c r="M113" s="103"/>
      <c r="N113" s="104"/>
      <c r="O113" s="77"/>
      <c r="P113" s="106"/>
      <c r="Q113" s="102"/>
      <c r="R113" s="77"/>
    </row>
    <row r="114">
      <c r="A114" s="177" t="s">
        <v>364</v>
      </c>
      <c r="B114" s="178">
        <v>638.28</v>
      </c>
      <c r="C114" s="100"/>
      <c r="D114" s="100"/>
      <c r="E114" s="99">
        <f t="shared" si="74"/>
        <v>638.28</v>
      </c>
      <c r="F114" s="101"/>
      <c r="G114" s="99"/>
      <c r="H114" s="102"/>
      <c r="I114" s="77"/>
      <c r="J114" s="103"/>
      <c r="K114" s="104"/>
      <c r="L114" s="105"/>
      <c r="M114" s="103"/>
      <c r="N114" s="104"/>
      <c r="O114" s="77"/>
      <c r="P114" s="106"/>
      <c r="Q114" s="102"/>
      <c r="R114" s="77"/>
    </row>
    <row r="115">
      <c r="A115" s="177" t="s">
        <v>365</v>
      </c>
      <c r="B115" s="178">
        <v>1646.42</v>
      </c>
      <c r="C115" s="100"/>
      <c r="D115" s="100"/>
      <c r="E115" s="99">
        <f t="shared" si="74"/>
        <v>1646.42</v>
      </c>
      <c r="F115" s="101"/>
      <c r="G115" s="99"/>
      <c r="H115" s="102" t="str">
        <f t="shared" ref="H115:H129" si="80">IFERROR(E115/G115,"")</f>
        <v/>
      </c>
      <c r="I115" s="77"/>
      <c r="J115" s="103"/>
      <c r="K115" s="104"/>
      <c r="L115" s="105"/>
      <c r="M115" s="103"/>
      <c r="N115" s="104"/>
      <c r="O115" s="77"/>
      <c r="P115" s="106"/>
      <c r="Q115" s="102"/>
      <c r="R115" s="77"/>
    </row>
    <row r="116">
      <c r="A116" s="177" t="s">
        <v>366</v>
      </c>
      <c r="B116" s="178">
        <v>127.98</v>
      </c>
      <c r="C116" s="100"/>
      <c r="D116" s="100"/>
      <c r="E116" s="99">
        <f t="shared" si="74"/>
        <v>127.98</v>
      </c>
      <c r="F116" s="101"/>
      <c r="G116" s="99"/>
      <c r="H116" s="102" t="str">
        <f t="shared" si="80"/>
        <v/>
      </c>
      <c r="I116" s="77"/>
      <c r="J116" s="103"/>
      <c r="K116" s="104"/>
      <c r="L116" s="105"/>
      <c r="M116" s="103"/>
      <c r="N116" s="104"/>
      <c r="O116" s="77"/>
      <c r="P116" s="106"/>
      <c r="Q116" s="102"/>
      <c r="R116" s="77"/>
    </row>
    <row r="117">
      <c r="A117" s="177" t="s">
        <v>367</v>
      </c>
      <c r="B117" s="179">
        <v>1276.87</v>
      </c>
      <c r="C117" s="100"/>
      <c r="D117" s="100"/>
      <c r="E117" s="99">
        <f t="shared" si="74"/>
        <v>1276.87</v>
      </c>
      <c r="F117" s="101"/>
      <c r="G117" s="99"/>
      <c r="H117" s="102" t="str">
        <f t="shared" si="80"/>
        <v/>
      </c>
      <c r="I117" s="77"/>
      <c r="J117" s="103"/>
      <c r="K117" s="104"/>
      <c r="L117" s="105"/>
      <c r="M117" s="103"/>
      <c r="N117" s="104"/>
      <c r="O117" s="77"/>
      <c r="P117" s="106"/>
      <c r="Q117" s="102"/>
      <c r="R117" s="77"/>
    </row>
    <row r="118">
      <c r="A118" s="177" t="s">
        <v>368</v>
      </c>
      <c r="B118" s="179"/>
      <c r="C118" s="100"/>
      <c r="D118" s="115"/>
      <c r="E118" s="99">
        <f t="shared" si="74"/>
        <v>0</v>
      </c>
      <c r="F118" s="101"/>
      <c r="G118" s="99"/>
      <c r="H118" s="102" t="str">
        <f t="shared" si="80"/>
        <v/>
      </c>
      <c r="I118" s="77"/>
      <c r="J118" s="103"/>
      <c r="K118" s="104"/>
      <c r="L118" s="105"/>
      <c r="M118" s="103"/>
      <c r="N118" s="104"/>
      <c r="O118" s="77"/>
      <c r="P118" s="106"/>
      <c r="Q118" s="102"/>
      <c r="R118" s="77"/>
    </row>
    <row r="119">
      <c r="A119" s="180" t="s">
        <v>369</v>
      </c>
      <c r="B119" s="181">
        <v>7813.4</v>
      </c>
      <c r="C119" s="144"/>
      <c r="D119" s="144"/>
      <c r="E119" s="142">
        <f t="shared" si="74"/>
        <v>7813.4</v>
      </c>
      <c r="F119" s="182" t="str">
        <f t="shared" ref="F119:F124" si="81">LEFT(TRIM(A119),9)</f>
        <v>1221-6311</v>
      </c>
      <c r="G119" s="144"/>
      <c r="H119" s="145" t="str">
        <f t="shared" si="80"/>
        <v/>
      </c>
      <c r="I119" s="143"/>
      <c r="J119" s="168" t="str">
        <f>IFERROR(__xludf.DUMMYFUNCTION("IFERROR(SUMPRODUCT(FILTER('FY22 Budget'!$F$2:$AC$71,'FY22 Budget'!$C$2:$C$71=$F119),'FY22 Budget'!$F$1:$AC$1&lt;=$K$4),"""")"),"")</f>
        <v/>
      </c>
      <c r="K119" s="169" t="str">
        <f t="shared" ref="K119:K129" si="82">IFERROR($E119/J119,"")</f>
        <v/>
      </c>
      <c r="L119" s="148"/>
      <c r="M119" s="168">
        <f>IFNA(VLOOKUP($F119,'FY22 Budget Update'!$C:$E,3,false),0)</f>
        <v>0</v>
      </c>
      <c r="N119" s="169" t="str">
        <f t="shared" ref="N119:N124" si="83">IFERROR($E119/M119,"")</f>
        <v/>
      </c>
      <c r="O119" s="143"/>
      <c r="P119" s="144" t="str">
        <f>IFERROR(__xludf.DUMMYFUNCTION("IFERROR(SUMPRODUCT(FILTER('FY22 Budget Update'!$F$2:$AC$72,'FY22 Budget Update'!$C$2:$C$72=$F119),'FY22 Budget Update'!$F$1:$AC$1&lt;=$K$4),"""")"),"")</f>
        <v/>
      </c>
      <c r="Q119" s="145" t="str">
        <f t="shared" ref="Q119:Q129" si="84">IFERROR($E119/P119,"")</f>
        <v/>
      </c>
      <c r="R119" s="143"/>
    </row>
    <row r="120">
      <c r="A120" s="177" t="s">
        <v>370</v>
      </c>
      <c r="B120" s="179"/>
      <c r="C120" s="100"/>
      <c r="D120" s="100"/>
      <c r="E120" s="99">
        <f t="shared" si="74"/>
        <v>0</v>
      </c>
      <c r="F120" s="101" t="str">
        <f t="shared" si="81"/>
        <v>1221-6319</v>
      </c>
      <c r="G120" s="99"/>
      <c r="H120" s="102" t="str">
        <f t="shared" si="80"/>
        <v/>
      </c>
      <c r="I120" s="77"/>
      <c r="J120" s="103">
        <f>IFERROR(__xludf.DUMMYFUNCTION("IFERROR(SUMPRODUCT(FILTER('FY22 Budget'!$F$2:$AC$71,'FY22 Budget'!$C$2:$C$71=$F120),'FY22 Budget'!$F$1:$AC$1&lt;=$K$4),"""")"),272754.36)</f>
        <v>272754.36</v>
      </c>
      <c r="K120" s="104">
        <f t="shared" si="82"/>
        <v>0</v>
      </c>
      <c r="L120" s="105"/>
      <c r="M120" s="103">
        <f>IFNA(VLOOKUP($F120,'FY22 Budget Update'!$C:$E,3,false),0)</f>
        <v>272754.37</v>
      </c>
      <c r="N120" s="104">
        <f t="shared" si="83"/>
        <v>0</v>
      </c>
      <c r="O120" s="77"/>
      <c r="P120" s="106">
        <f>IFERROR(__xludf.DUMMYFUNCTION("IFERROR(SUMPRODUCT(FILTER('FY22 Budget Update'!$F$2:$AC$72,'FY22 Budget Update'!$C$2:$C$72=$F120),'FY22 Budget Update'!$F$1:$AC$1&lt;=$K$4),"""")"),272754.36)</f>
        <v>272754.36</v>
      </c>
      <c r="Q120" s="102">
        <f t="shared" si="84"/>
        <v>0</v>
      </c>
      <c r="R120" s="77"/>
    </row>
    <row r="121">
      <c r="A121" s="175" t="s">
        <v>371</v>
      </c>
      <c r="B121" s="179"/>
      <c r="C121" s="100"/>
      <c r="D121" s="100"/>
      <c r="E121" s="99">
        <f t="shared" si="74"/>
        <v>0</v>
      </c>
      <c r="F121" s="101" t="str">
        <f t="shared" si="81"/>
        <v>1221-6411</v>
      </c>
      <c r="G121" s="99"/>
      <c r="H121" s="102" t="str">
        <f t="shared" si="80"/>
        <v/>
      </c>
      <c r="I121" s="77"/>
      <c r="J121" s="103" t="str">
        <f>IFERROR(__xludf.DUMMYFUNCTION("IFERROR(SUMPRODUCT(FILTER('FY22 Budget'!$F$2:$AC$71,'FY22 Budget'!$C$2:$C$71=$F121),'FY22 Budget'!$F$1:$AC$1&lt;=$K$4),"""")"),"")</f>
        <v/>
      </c>
      <c r="K121" s="104" t="str">
        <f t="shared" si="82"/>
        <v/>
      </c>
      <c r="L121" s="105"/>
      <c r="M121" s="103">
        <f>IFNA(VLOOKUP($F121,'FY22 Budget Update'!$C:$E,3,false),0)</f>
        <v>3401</v>
      </c>
      <c r="N121" s="104">
        <f t="shared" si="83"/>
        <v>0</v>
      </c>
      <c r="O121" s="77"/>
      <c r="P121" s="106">
        <f>IFERROR(__xludf.DUMMYFUNCTION("IFERROR(SUMPRODUCT(FILTER('FY22 Budget Update'!$F$2:$AC$72,'FY22 Budget Update'!$C$2:$C$72=$F121),'FY22 Budget Update'!$F$1:$AC$1&lt;=$K$4),"""")"),3401.42)</f>
        <v>3401.42</v>
      </c>
      <c r="Q121" s="102">
        <f t="shared" si="84"/>
        <v>0</v>
      </c>
      <c r="R121" s="77"/>
    </row>
    <row r="122">
      <c r="A122" s="180" t="s">
        <v>372</v>
      </c>
      <c r="B122" s="181">
        <v>3073.09</v>
      </c>
      <c r="C122" s="144"/>
      <c r="D122" s="144"/>
      <c r="E122" s="142">
        <f t="shared" si="74"/>
        <v>3073.09</v>
      </c>
      <c r="F122" s="182" t="str">
        <f t="shared" si="81"/>
        <v>1411/1421</v>
      </c>
      <c r="G122" s="144"/>
      <c r="H122" s="145" t="str">
        <f t="shared" si="80"/>
        <v/>
      </c>
      <c r="I122" s="143"/>
      <c r="J122" s="140" t="str">
        <f>IFERROR(__xludf.DUMMYFUNCTION("IFERROR(SUMPRODUCT(FILTER('FY22 Budget'!$F$2:$AC$71,'FY22 Budget'!$C$2:$C$71=$F122),'FY22 Budget'!$F$1:$AC$1&lt;=$K$4),"""")"),"")</f>
        <v/>
      </c>
      <c r="K122" s="183" t="str">
        <f t="shared" si="82"/>
        <v/>
      </c>
      <c r="L122" s="148"/>
      <c r="M122" s="140">
        <f>IFNA(VLOOKUP($F122,'FY22 Budget Update'!$C:$E,3,false),0)</f>
        <v>0</v>
      </c>
      <c r="N122" s="183" t="str">
        <f t="shared" si="83"/>
        <v/>
      </c>
      <c r="O122" s="143"/>
      <c r="P122" s="142" t="str">
        <f>IFERROR(__xludf.DUMMYFUNCTION("IFERROR(SUMPRODUCT(FILTER('FY22 Budget Update'!$F$2:$AC$72,'FY22 Budget Update'!$C$2:$C$72=$F122),'FY22 Budget Update'!$F$1:$AC$1&lt;=$K$4),"""")"),"")</f>
        <v/>
      </c>
      <c r="Q122" s="145" t="str">
        <f t="shared" si="84"/>
        <v/>
      </c>
      <c r="R122" s="143"/>
    </row>
    <row r="123">
      <c r="A123" s="177" t="s">
        <v>373</v>
      </c>
      <c r="B123" s="179">
        <v>429.83</v>
      </c>
      <c r="C123" s="100"/>
      <c r="D123" s="100"/>
      <c r="E123" s="99">
        <f t="shared" si="74"/>
        <v>429.83</v>
      </c>
      <c r="F123" s="101" t="str">
        <f t="shared" si="81"/>
        <v>1411/1421</v>
      </c>
      <c r="G123" s="99"/>
      <c r="H123" s="102" t="str">
        <f t="shared" si="80"/>
        <v/>
      </c>
      <c r="I123" s="77"/>
      <c r="J123" s="103" t="str">
        <f>IFERROR(__xludf.DUMMYFUNCTION("IFERROR(SUMPRODUCT(FILTER('FY22 Budget'!$F$2:$AC$71,'FY22 Budget'!$C$2:$C$71=$F123),'FY22 Budget'!$F$1:$AC$1&lt;=$K$4),"""")"),"")</f>
        <v/>
      </c>
      <c r="K123" s="104" t="str">
        <f t="shared" si="82"/>
        <v/>
      </c>
      <c r="L123" s="105"/>
      <c r="M123" s="103">
        <f>IFNA(VLOOKUP($F123,'FY22 Budget Update'!$C:$E,3,false),0)</f>
        <v>0</v>
      </c>
      <c r="N123" s="104" t="str">
        <f t="shared" si="83"/>
        <v/>
      </c>
      <c r="O123" s="77"/>
      <c r="P123" s="106" t="str">
        <f>IFERROR(__xludf.DUMMYFUNCTION("IFERROR(SUMPRODUCT(FILTER('FY22 Budget Update'!$F$2:$AC$72,'FY22 Budget Update'!$C$2:$C$72=$F123),'FY22 Budget Update'!$F$1:$AC$1&lt;=$K$4),"""")"),"")</f>
        <v/>
      </c>
      <c r="Q123" s="102" t="str">
        <f t="shared" si="84"/>
        <v/>
      </c>
      <c r="R123" s="77"/>
    </row>
    <row r="124">
      <c r="A124" s="177" t="s">
        <v>374</v>
      </c>
      <c r="B124" s="179">
        <v>6877.14</v>
      </c>
      <c r="C124" s="100"/>
      <c r="D124" s="100"/>
      <c r="E124" s="99">
        <f t="shared" si="74"/>
        <v>6877.14</v>
      </c>
      <c r="F124" s="101" t="str">
        <f t="shared" si="81"/>
        <v>1411/1421</v>
      </c>
      <c r="G124" s="99"/>
      <c r="H124" s="102" t="str">
        <f t="shared" si="80"/>
        <v/>
      </c>
      <c r="I124" s="77"/>
      <c r="J124" s="103" t="str">
        <f>IFERROR(__xludf.DUMMYFUNCTION("IFERROR(SUMPRODUCT(FILTER('FY22 Budget'!$F$2:$AC$71,'FY22 Budget'!$C$2:$C$71=$F124),'FY22 Budget'!$F$1:$AC$1&lt;=$K$4),"""")"),"")</f>
        <v/>
      </c>
      <c r="K124" s="104" t="str">
        <f t="shared" si="82"/>
        <v/>
      </c>
      <c r="L124" s="105"/>
      <c r="M124" s="103">
        <f>IFNA(VLOOKUP($F124,'FY22 Budget Update'!$C:$E,3,false),0)</f>
        <v>0</v>
      </c>
      <c r="N124" s="104" t="str">
        <f t="shared" si="83"/>
        <v/>
      </c>
      <c r="O124" s="77"/>
      <c r="P124" s="106" t="str">
        <f>IFERROR(__xludf.DUMMYFUNCTION("IFERROR(SUMPRODUCT(FILTER('FY22 Budget Update'!$F$2:$AC$72,'FY22 Budget Update'!$C$2:$C$72=$F124),'FY22 Budget Update'!$F$1:$AC$1&lt;=$K$4),"""")"),"")</f>
        <v/>
      </c>
      <c r="Q124" s="102" t="str">
        <f t="shared" si="84"/>
        <v/>
      </c>
      <c r="R124" s="77"/>
    </row>
    <row r="125">
      <c r="A125" s="175" t="s">
        <v>375</v>
      </c>
      <c r="B125" s="179">
        <v>14509.6</v>
      </c>
      <c r="C125" s="100"/>
      <c r="D125" s="100"/>
      <c r="E125" s="99">
        <f t="shared" si="74"/>
        <v>14509.6</v>
      </c>
      <c r="F125" s="101"/>
      <c r="G125" s="99"/>
      <c r="H125" s="102" t="str">
        <f t="shared" si="80"/>
        <v/>
      </c>
      <c r="I125" s="77"/>
      <c r="J125" s="103" t="str">
        <f>IFERROR(__xludf.DUMMYFUNCTION("IFERROR(SUMPRODUCT(FILTER('FY22 Budget'!$F$2:$AC$71,'FY22 Budget'!$C$2:$C$71=$F125),'FY22 Budget'!$F$1:$AC$1&lt;=$K$4),"""")"),"")</f>
        <v/>
      </c>
      <c r="K125" s="104" t="str">
        <f t="shared" si="82"/>
        <v/>
      </c>
      <c r="L125" s="105"/>
      <c r="M125" s="103">
        <f>IFNA(VLOOKUP($F125,'FY22 Budget Update'!$C:$E,3,false),0)</f>
        <v>0</v>
      </c>
      <c r="N125" s="104" t="str">
        <f>IFERROR(K125/M125,"")</f>
        <v/>
      </c>
      <c r="O125" s="77"/>
      <c r="P125" s="106" t="str">
        <f>IFERROR(__xludf.DUMMYFUNCTION("IFERROR(SUMPRODUCT(FILTER('FY22 Budget Update'!$F$2:$AC$72,'FY22 Budget Update'!$C$2:$C$72=$F125),'FY22 Budget Update'!$F$1:$AC$1&lt;=$K$4),"""")"),"")</f>
        <v/>
      </c>
      <c r="Q125" s="102" t="str">
        <f t="shared" si="84"/>
        <v/>
      </c>
      <c r="R125" s="77"/>
    </row>
    <row r="126">
      <c r="A126" s="175" t="s">
        <v>376</v>
      </c>
      <c r="B126" s="179">
        <v>2590.0</v>
      </c>
      <c r="C126" s="100"/>
      <c r="D126" s="100"/>
      <c r="E126" s="99">
        <f t="shared" si="74"/>
        <v>2590</v>
      </c>
      <c r="F126" s="101" t="str">
        <f t="shared" ref="F126:F129" si="85">LEFT(TRIM(A126),9)</f>
        <v>2142-6319</v>
      </c>
      <c r="G126" s="99"/>
      <c r="H126" s="102" t="str">
        <f t="shared" si="80"/>
        <v/>
      </c>
      <c r="I126" s="77"/>
      <c r="J126" s="103">
        <f>IFERROR(__xludf.DUMMYFUNCTION("IFERROR(SUMPRODUCT(FILTER('FY22 Budget'!$F$2:$AC$71,'FY22 Budget'!$C$2:$C$71=$F126),'FY22 Budget'!$F$1:$AC$1&lt;=$K$4),"""")"),26951.00000000001)</f>
        <v>26951</v>
      </c>
      <c r="K126" s="104">
        <f t="shared" si="82"/>
        <v>0.09610033023</v>
      </c>
      <c r="L126" s="105"/>
      <c r="M126" s="103">
        <f>IFNA(VLOOKUP($F126,'FY22 Budget Update'!$C:$E,3,false),0)</f>
        <v>26950.97</v>
      </c>
      <c r="N126" s="104">
        <f t="shared" ref="N126:N129" si="86">IFERROR($E126/M126,"")</f>
        <v>0.0961004372</v>
      </c>
      <c r="O126" s="77"/>
      <c r="P126" s="106">
        <f>IFERROR(__xludf.DUMMYFUNCTION("IFERROR(SUMPRODUCT(FILTER('FY22 Budget Update'!$F$2:$AC$72,'FY22 Budget Update'!$C$2:$C$72=$F126),'FY22 Budget Update'!$F$1:$AC$1&lt;=$K$4),"""")"),26951.00000000001)</f>
        <v>26951</v>
      </c>
      <c r="Q126" s="102">
        <f t="shared" si="84"/>
        <v>0.09610033023</v>
      </c>
      <c r="R126" s="77"/>
    </row>
    <row r="127">
      <c r="A127" s="175" t="s">
        <v>377</v>
      </c>
      <c r="B127" s="179">
        <v>3410.0</v>
      </c>
      <c r="C127" s="100"/>
      <c r="D127" s="100"/>
      <c r="E127" s="99">
        <f t="shared" si="74"/>
        <v>3410</v>
      </c>
      <c r="F127" s="101" t="str">
        <f t="shared" si="85"/>
        <v>2152-6319</v>
      </c>
      <c r="G127" s="99"/>
      <c r="H127" s="102" t="str">
        <f t="shared" si="80"/>
        <v/>
      </c>
      <c r="I127" s="77"/>
      <c r="J127" s="103">
        <f>IFERROR(__xludf.DUMMYFUNCTION("IFERROR(SUMPRODUCT(FILTER('FY22 Budget'!$F$2:$AC$71,'FY22 Budget'!$C$2:$C$71=$F127),'FY22 Budget'!$F$1:$AC$1&lt;=$K$4),"""")"),21869.19999999999)</f>
        <v>21869.2</v>
      </c>
      <c r="K127" s="104">
        <f t="shared" si="82"/>
        <v>0.1559270572</v>
      </c>
      <c r="L127" s="105"/>
      <c r="M127" s="103">
        <f>IFNA(VLOOKUP($F127,'FY22 Budget Update'!$C:$E,3,false),0)</f>
        <v>21869.14</v>
      </c>
      <c r="N127" s="104">
        <f t="shared" si="86"/>
        <v>0.155927485</v>
      </c>
      <c r="O127" s="77"/>
      <c r="P127" s="106">
        <f>IFERROR(__xludf.DUMMYFUNCTION("IFERROR(SUMPRODUCT(FILTER('FY22 Budget Update'!$F$2:$AC$72,'FY22 Budget Update'!$C$2:$C$72=$F127),'FY22 Budget Update'!$F$1:$AC$1&lt;=$K$4),"""")"),21869.19999999999)</f>
        <v>21869.2</v>
      </c>
      <c r="Q127" s="102">
        <f t="shared" si="84"/>
        <v>0.1559270572</v>
      </c>
      <c r="R127" s="77"/>
    </row>
    <row r="128">
      <c r="A128" s="175" t="s">
        <v>378</v>
      </c>
      <c r="B128" s="179">
        <v>9760.75</v>
      </c>
      <c r="C128" s="100"/>
      <c r="D128" s="100"/>
      <c r="E128" s="99">
        <f t="shared" si="74"/>
        <v>9760.75</v>
      </c>
      <c r="F128" s="101" t="str">
        <f t="shared" si="85"/>
        <v>2162-6319</v>
      </c>
      <c r="G128" s="99"/>
      <c r="H128" s="102" t="str">
        <f t="shared" si="80"/>
        <v/>
      </c>
      <c r="I128" s="77"/>
      <c r="J128" s="103">
        <f>IFERROR(__xludf.DUMMYFUNCTION("IFERROR(SUMPRODUCT(FILTER('FY22 Budget'!$F$2:$AC$71,'FY22 Budget'!$C$2:$C$71=$F128),'FY22 Budget'!$F$1:$AC$1&lt;=$K$4),"""")"),20270.400000000005)</f>
        <v>20270.4</v>
      </c>
      <c r="K128" s="104">
        <f t="shared" si="82"/>
        <v>0.4815272516</v>
      </c>
      <c r="L128" s="105"/>
      <c r="M128" s="103">
        <f>IFNA(VLOOKUP($F128,'FY22 Budget Update'!$C:$E,3,false),0)</f>
        <v>20270.34</v>
      </c>
      <c r="N128" s="104">
        <f t="shared" si="86"/>
        <v>0.4815286769</v>
      </c>
      <c r="O128" s="77"/>
      <c r="P128" s="106">
        <f>IFERROR(__xludf.DUMMYFUNCTION("IFERROR(SUMPRODUCT(FILTER('FY22 Budget Update'!$F$2:$AC$72,'FY22 Budget Update'!$C$2:$C$72=$F128),'FY22 Budget Update'!$F$1:$AC$1&lt;=$K$4),"""")"),20270.400000000005)</f>
        <v>20270.4</v>
      </c>
      <c r="Q128" s="102">
        <f t="shared" si="84"/>
        <v>0.4815272516</v>
      </c>
      <c r="R128" s="77"/>
    </row>
    <row r="129">
      <c r="A129" s="175" t="s">
        <v>379</v>
      </c>
      <c r="B129" s="178"/>
      <c r="C129" s="100"/>
      <c r="D129" s="100"/>
      <c r="E129" s="99">
        <f t="shared" si="74"/>
        <v>0</v>
      </c>
      <c r="F129" s="101" t="str">
        <f t="shared" si="85"/>
        <v>2191-6319</v>
      </c>
      <c r="G129" s="99"/>
      <c r="H129" s="102" t="str">
        <f t="shared" si="80"/>
        <v/>
      </c>
      <c r="I129" s="77"/>
      <c r="J129" s="103">
        <f>IFERROR(__xludf.DUMMYFUNCTION("IFERROR(SUMPRODUCT(FILTER('FY22 Budget'!$F$2:$AC$71,'FY22 Budget'!$C$2:$C$71=$F129),'FY22 Budget'!$F$1:$AC$1&lt;=$K$4),"""")"),110114.75999999997)</f>
        <v>110114.76</v>
      </c>
      <c r="K129" s="104">
        <f t="shared" si="82"/>
        <v>0</v>
      </c>
      <c r="L129" s="105"/>
      <c r="M129" s="103">
        <f>IFNA(VLOOKUP($F129,'FY22 Budget Update'!$C:$E,3,false),0)</f>
        <v>161014.62</v>
      </c>
      <c r="N129" s="104">
        <f t="shared" si="86"/>
        <v>0</v>
      </c>
      <c r="O129" s="77"/>
      <c r="P129" s="106">
        <f>IFERROR(__xludf.DUMMYFUNCTION("IFERROR(SUMPRODUCT(FILTER('FY22 Budget Update'!$F$2:$AC$72,'FY22 Budget Update'!$C$2:$C$72=$F129),'FY22 Budget Update'!$F$1:$AC$1&lt;=$K$4),"""")"),161018.94)</f>
        <v>161018.94</v>
      </c>
      <c r="Q129" s="102">
        <f t="shared" si="84"/>
        <v>0</v>
      </c>
      <c r="R129" s="77"/>
    </row>
    <row r="130">
      <c r="A130" s="177" t="s">
        <v>380</v>
      </c>
      <c r="B130" s="178">
        <v>2624.86</v>
      </c>
      <c r="C130" s="100"/>
      <c r="D130" s="100"/>
      <c r="E130" s="99">
        <f t="shared" si="74"/>
        <v>2624.86</v>
      </c>
      <c r="F130" s="101"/>
      <c r="G130" s="99"/>
      <c r="H130" s="102"/>
      <c r="I130" s="77"/>
      <c r="J130" s="103"/>
      <c r="K130" s="104"/>
      <c r="L130" s="105"/>
      <c r="M130" s="103"/>
      <c r="N130" s="104"/>
      <c r="O130" s="77"/>
      <c r="P130" s="106"/>
      <c r="Q130" s="102"/>
      <c r="R130" s="77"/>
    </row>
    <row r="131">
      <c r="A131" s="177" t="s">
        <v>381</v>
      </c>
      <c r="B131" s="178">
        <v>1114.93</v>
      </c>
      <c r="C131" s="100"/>
      <c r="D131" s="100"/>
      <c r="E131" s="99">
        <f t="shared" si="74"/>
        <v>1114.93</v>
      </c>
      <c r="F131" s="101"/>
      <c r="G131" s="99"/>
      <c r="H131" s="102" t="str">
        <f t="shared" ref="H131:H133" si="87">IFERROR(E131/G131,"")</f>
        <v/>
      </c>
      <c r="I131" s="77"/>
      <c r="J131" s="103"/>
      <c r="K131" s="104"/>
      <c r="L131" s="105"/>
      <c r="M131" s="103"/>
      <c r="N131" s="104"/>
      <c r="O131" s="77"/>
      <c r="P131" s="106"/>
      <c r="Q131" s="102"/>
      <c r="R131" s="77"/>
    </row>
    <row r="132">
      <c r="A132" s="177" t="s">
        <v>382</v>
      </c>
      <c r="B132" s="178"/>
      <c r="C132" s="100"/>
      <c r="D132" s="115"/>
      <c r="E132" s="99">
        <f t="shared" si="74"/>
        <v>0</v>
      </c>
      <c r="F132" s="101"/>
      <c r="G132" s="99"/>
      <c r="H132" s="102" t="str">
        <f t="shared" si="87"/>
        <v/>
      </c>
      <c r="I132" s="77"/>
      <c r="J132" s="103"/>
      <c r="K132" s="104"/>
      <c r="L132" s="105"/>
      <c r="M132" s="103"/>
      <c r="N132" s="104"/>
      <c r="O132" s="77"/>
      <c r="P132" s="106"/>
      <c r="Q132" s="102"/>
      <c r="R132" s="77"/>
    </row>
    <row r="133">
      <c r="A133" s="177" t="s">
        <v>383</v>
      </c>
      <c r="B133" s="178">
        <v>1000.0</v>
      </c>
      <c r="C133" s="100"/>
      <c r="D133" s="100"/>
      <c r="E133" s="99">
        <f t="shared" si="74"/>
        <v>1000</v>
      </c>
      <c r="F133" s="101" t="str">
        <f>LEFT(TRIM(A131),9)</f>
        <v>2211-6411</v>
      </c>
      <c r="G133" s="99"/>
      <c r="H133" s="102" t="str">
        <f t="shared" si="87"/>
        <v/>
      </c>
      <c r="I133" s="77"/>
      <c r="J133" s="103" t="str">
        <f>IFERROR(__xludf.DUMMYFUNCTION("IFERROR(SUMPRODUCT(FILTER('FY22 Budget'!$F$2:$AC$71,'FY22 Budget'!$C$2:$C$71=$F133),'FY22 Budget'!$F$1:$AC$1&lt;=$K$4),"""")"),"")</f>
        <v/>
      </c>
      <c r="K133" s="104" t="str">
        <f t="shared" ref="K133:K134" si="89">IFERROR($E133/J133,"")</f>
        <v/>
      </c>
      <c r="L133" s="105"/>
      <c r="M133" s="103">
        <f>IFNA(VLOOKUP($F133,'FY22 Budget Update'!$C:$E,3,false),0)</f>
        <v>0</v>
      </c>
      <c r="N133" s="104" t="str">
        <f t="shared" ref="N133:N134" si="90">IFERROR($E133/M133,"")</f>
        <v/>
      </c>
      <c r="O133" s="77"/>
      <c r="P133" s="106" t="str">
        <f>IFERROR(__xludf.DUMMYFUNCTION("IFERROR(SUMPRODUCT(FILTER('FY22 Budget Update'!$F$2:$AC$72,'FY22 Budget Update'!$C$2:$C$72=$F133),'FY22 Budget Update'!$F$1:$AC$1&lt;=$K$4),"""")"),"")</f>
        <v/>
      </c>
      <c r="Q133" s="102" t="str">
        <f t="shared" ref="Q133:Q134" si="91">IFERROR($E133/P133,"")</f>
        <v/>
      </c>
      <c r="R133" s="77"/>
    </row>
    <row r="134">
      <c r="A134" s="175" t="s">
        <v>384</v>
      </c>
      <c r="B134" s="184">
        <f t="shared" ref="B134:E134" si="88">SUM(B104:B133)</f>
        <v>166276.22</v>
      </c>
      <c r="C134" s="108">
        <f t="shared" si="88"/>
        <v>0</v>
      </c>
      <c r="D134" s="108">
        <f t="shared" si="88"/>
        <v>0</v>
      </c>
      <c r="E134" s="108">
        <f t="shared" si="88"/>
        <v>166276.22</v>
      </c>
      <c r="F134" s="101" t="str">
        <f t="shared" ref="F134:F135" si="92">LEFT(TRIM(A134),9)</f>
        <v>Total 000</v>
      </c>
      <c r="G134" s="107">
        <v>612174.0</v>
      </c>
      <c r="H134" s="121">
        <f>IFERROR($E134/G134,"")</f>
        <v>0.2716159458</v>
      </c>
      <c r="I134" s="77"/>
      <c r="J134" s="110">
        <f>SUM(J104:J133)</f>
        <v>752940.66</v>
      </c>
      <c r="K134" s="111">
        <f t="shared" si="89"/>
        <v>0.2208357562</v>
      </c>
      <c r="L134" s="105"/>
      <c r="M134" s="110">
        <f>SUM(M104:M133)</f>
        <v>691389.58</v>
      </c>
      <c r="N134" s="111">
        <f t="shared" si="90"/>
        <v>0.2404956985</v>
      </c>
      <c r="O134" s="77"/>
      <c r="P134" s="108">
        <f>SUM(P104:P133)</f>
        <v>691394.56</v>
      </c>
      <c r="Q134" s="112">
        <f t="shared" si="91"/>
        <v>0.2404939663</v>
      </c>
      <c r="R134" s="77"/>
    </row>
    <row r="135">
      <c r="A135" s="185" t="s">
        <v>385</v>
      </c>
      <c r="B135" s="176"/>
      <c r="C135" s="100"/>
      <c r="D135" s="100"/>
      <c r="E135" s="106"/>
      <c r="F135" s="101" t="str">
        <f t="shared" si="92"/>
        <v>0000-6XXX</v>
      </c>
      <c r="G135" s="106"/>
      <c r="H135" s="102" t="str">
        <f t="shared" ref="H135:H145" si="93">IFERROR(E135/G135,"")</f>
        <v/>
      </c>
      <c r="I135" s="77"/>
      <c r="J135" s="103"/>
      <c r="K135" s="104"/>
      <c r="L135" s="105"/>
      <c r="M135" s="103"/>
      <c r="N135" s="104" t="str">
        <f>IFERROR(K135/M135,"")</f>
        <v/>
      </c>
      <c r="O135" s="77"/>
      <c r="P135" s="106"/>
      <c r="Q135" s="102"/>
      <c r="R135" s="77"/>
    </row>
    <row r="136">
      <c r="A136" s="186" t="s">
        <v>386</v>
      </c>
      <c r="B136" s="178"/>
      <c r="C136" s="100"/>
      <c r="D136" s="100"/>
      <c r="E136" s="99">
        <f t="shared" ref="E136:E145" si="94">SUM(B136:D136)</f>
        <v>0</v>
      </c>
      <c r="F136" s="101"/>
      <c r="G136" s="120"/>
      <c r="H136" s="102" t="str">
        <f t="shared" si="93"/>
        <v/>
      </c>
      <c r="I136" s="77"/>
      <c r="J136" s="103"/>
      <c r="K136" s="104"/>
      <c r="L136" s="105"/>
      <c r="M136" s="103"/>
      <c r="N136" s="104"/>
      <c r="O136" s="77"/>
      <c r="P136" s="106"/>
      <c r="Q136" s="102"/>
      <c r="R136" s="77"/>
    </row>
    <row r="137">
      <c r="A137" s="185" t="s">
        <v>387</v>
      </c>
      <c r="B137" s="178"/>
      <c r="C137" s="100"/>
      <c r="D137" s="100"/>
      <c r="E137" s="99">
        <f t="shared" si="94"/>
        <v>0</v>
      </c>
      <c r="F137" s="101" t="str">
        <f>LEFT(TRIM(A137),9)</f>
        <v>2134-6411</v>
      </c>
      <c r="G137" s="120"/>
      <c r="H137" s="102" t="str">
        <f t="shared" si="93"/>
        <v/>
      </c>
      <c r="I137" s="77"/>
      <c r="J137" s="103">
        <f>IFERROR(__xludf.DUMMYFUNCTION("IFERROR(SUMPRODUCT(FILTER('FY22 Budget'!$F$2:$AC$71,'FY22 Budget'!$C$2:$C$71=$F137),'FY22 Budget'!$F$1:$AC$1&lt;=$K$4),"""")"),500.0)</f>
        <v>500</v>
      </c>
      <c r="K137" s="104">
        <f>IFERROR($E137/J137,"")</f>
        <v>0</v>
      </c>
      <c r="L137" s="105"/>
      <c r="M137" s="103">
        <f>IFNA(VLOOKUP($F137,'FY22 Budget Update'!$C:$E,3,false),0)</f>
        <v>2582.74</v>
      </c>
      <c r="N137" s="104">
        <f>IFERROR($E137/M137,"")</f>
        <v>0</v>
      </c>
      <c r="O137" s="77"/>
      <c r="P137" s="106">
        <f>IFERROR(__xludf.DUMMYFUNCTION("IFERROR(SUMPRODUCT(FILTER('FY22 Budget Update'!$F$2:$AC$72,'FY22 Budget Update'!$C$2:$C$72=$F137),'FY22 Budget Update'!$F$1:$AC$1&lt;=$K$4),"""")"),2582.74)</f>
        <v>2582.74</v>
      </c>
      <c r="Q137" s="102">
        <f>IFERROR($E137/P137,"")</f>
        <v>0</v>
      </c>
      <c r="R137" s="77"/>
    </row>
    <row r="138">
      <c r="A138" s="186" t="s">
        <v>388</v>
      </c>
      <c r="B138" s="178">
        <v>4000.0</v>
      </c>
      <c r="C138" s="100"/>
      <c r="D138" s="100"/>
      <c r="E138" s="99">
        <f t="shared" si="94"/>
        <v>4000</v>
      </c>
      <c r="F138" s="101"/>
      <c r="G138" s="99"/>
      <c r="H138" s="102" t="str">
        <f t="shared" si="93"/>
        <v/>
      </c>
      <c r="I138" s="77"/>
      <c r="J138" s="103"/>
      <c r="K138" s="104"/>
      <c r="L138" s="105"/>
      <c r="M138" s="103"/>
      <c r="N138" s="104"/>
      <c r="O138" s="77"/>
      <c r="P138" s="106"/>
      <c r="Q138" s="102"/>
      <c r="R138" s="77"/>
    </row>
    <row r="139">
      <c r="A139" s="186" t="s">
        <v>389</v>
      </c>
      <c r="B139" s="178"/>
      <c r="C139" s="100"/>
      <c r="D139" s="100"/>
      <c r="E139" s="99">
        <f t="shared" si="94"/>
        <v>0</v>
      </c>
      <c r="F139" s="101"/>
      <c r="G139" s="99"/>
      <c r="H139" s="102" t="str">
        <f t="shared" si="93"/>
        <v/>
      </c>
      <c r="I139" s="77"/>
      <c r="J139" s="103"/>
      <c r="K139" s="104"/>
      <c r="L139" s="105"/>
      <c r="M139" s="103"/>
      <c r="N139" s="104"/>
      <c r="O139" s="77"/>
      <c r="P139" s="106"/>
      <c r="Q139" s="102"/>
      <c r="R139" s="77"/>
    </row>
    <row r="140">
      <c r="A140" s="185" t="s">
        <v>390</v>
      </c>
      <c r="B140" s="178"/>
      <c r="C140" s="100"/>
      <c r="D140" s="100"/>
      <c r="E140" s="99">
        <f t="shared" si="94"/>
        <v>0</v>
      </c>
      <c r="F140" s="101" t="str">
        <f t="shared" ref="F140:F143" si="95">LEFT(TRIM(A140),9)</f>
        <v>2562-6319</v>
      </c>
      <c r="G140" s="99"/>
      <c r="H140" s="102" t="str">
        <f t="shared" si="93"/>
        <v/>
      </c>
      <c r="I140" s="77"/>
      <c r="J140" s="103">
        <f>IFERROR(__xludf.DUMMYFUNCTION("IFERROR(SUMPRODUCT(FILTER('FY22 Budget'!$F$2:$AC$71,'FY22 Budget'!$C$2:$C$71=$F140),'FY22 Budget'!$F$1:$AC$1&lt;=$K$4),"""")"),7.0)</f>
        <v>7</v>
      </c>
      <c r="K140" s="104">
        <f t="shared" ref="K140:K143" si="96">IFERROR($E140/J140,"")</f>
        <v>0</v>
      </c>
      <c r="L140" s="105"/>
      <c r="M140" s="103">
        <f>IFNA(VLOOKUP($F140,'FY22 Budget Update'!$C:$E,3,false),0)</f>
        <v>262</v>
      </c>
      <c r="N140" s="104">
        <f t="shared" ref="N140:N143" si="97">IFERROR($E140/M140,"")</f>
        <v>0</v>
      </c>
      <c r="O140" s="77"/>
      <c r="P140" s="106">
        <f>IFERROR(__xludf.DUMMYFUNCTION("IFERROR(SUMPRODUCT(FILTER('FY22 Budget Update'!$F$2:$AC$72,'FY22 Budget Update'!$C$2:$C$72=$F140),'FY22 Budget Update'!$F$1:$AC$1&lt;=$K$4),"""")"),262.0)</f>
        <v>262</v>
      </c>
      <c r="Q140" s="102">
        <f t="shared" ref="Q140:Q143" si="98">IFERROR($E140/P140,"")</f>
        <v>0</v>
      </c>
      <c r="R140" s="77"/>
    </row>
    <row r="141">
      <c r="A141" s="186" t="s">
        <v>391</v>
      </c>
      <c r="B141" s="178">
        <v>3778.5</v>
      </c>
      <c r="C141" s="100"/>
      <c r="D141" s="100"/>
      <c r="E141" s="99">
        <f t="shared" si="94"/>
        <v>3778.5</v>
      </c>
      <c r="F141" s="101" t="str">
        <f t="shared" si="95"/>
        <v>2562-6471</v>
      </c>
      <c r="G141" s="99">
        <v>139130.0</v>
      </c>
      <c r="H141" s="102">
        <f t="shared" si="93"/>
        <v>0.02715805362</v>
      </c>
      <c r="I141" s="77"/>
      <c r="J141" s="120">
        <v>119454.96</v>
      </c>
      <c r="K141" s="104">
        <f t="shared" si="96"/>
        <v>0.03163116877</v>
      </c>
      <c r="L141" s="105"/>
      <c r="M141" s="103">
        <f>IFNA(VLOOKUP($F141,'FY22 Budget Update'!$C:$E,3,false),0)</f>
        <v>0</v>
      </c>
      <c r="N141" s="104" t="str">
        <f t="shared" si="97"/>
        <v/>
      </c>
      <c r="O141" s="77"/>
      <c r="P141" s="106" t="str">
        <f>IFERROR(__xludf.DUMMYFUNCTION("IFERROR(SUMPRODUCT(FILTER('FY22 Budget Update'!$F$2:$AC$72,'FY22 Budget Update'!$C$2:$C$72=$F141),'FY22 Budget Update'!$F$1:$AC$1&lt;=$K$4),"""")"),"")</f>
        <v/>
      </c>
      <c r="Q141" s="102" t="str">
        <f t="shared" si="98"/>
        <v/>
      </c>
      <c r="R141" s="77"/>
    </row>
    <row r="142">
      <c r="A142" s="186" t="s">
        <v>392</v>
      </c>
      <c r="B142" s="178"/>
      <c r="C142" s="100"/>
      <c r="D142" s="100"/>
      <c r="E142" s="99">
        <f t="shared" si="94"/>
        <v>0</v>
      </c>
      <c r="F142" s="101" t="str">
        <f t="shared" si="95"/>
        <v>2562-6411</v>
      </c>
      <c r="G142" s="99"/>
      <c r="H142" s="102" t="str">
        <f t="shared" si="93"/>
        <v/>
      </c>
      <c r="I142" s="77"/>
      <c r="J142" s="103">
        <f>IFERROR(__xludf.DUMMYFUNCTION("IFERROR(SUMPRODUCT(FILTER('FY22 Budget'!$F$2:$AC$71,'FY22 Budget'!$C$2:$C$71=$F142),'FY22 Budget'!$F$1:$AC$1&lt;=$K$4),"""")"),1488.1)</f>
        <v>1488.1</v>
      </c>
      <c r="K142" s="104">
        <f t="shared" si="96"/>
        <v>0</v>
      </c>
      <c r="L142" s="105"/>
      <c r="M142" s="103">
        <f>IFNA(VLOOKUP($F142,'FY22 Budget Update'!$C:$E,3,false),0)</f>
        <v>4907.74</v>
      </c>
      <c r="N142" s="104">
        <f t="shared" si="97"/>
        <v>0</v>
      </c>
      <c r="O142" s="77"/>
      <c r="P142" s="106">
        <f>IFERROR(__xludf.DUMMYFUNCTION("IFERROR(SUMPRODUCT(FILTER('FY22 Budget Update'!$F$2:$AC$72,'FY22 Budget Update'!$C$2:$C$72=$F142),'FY22 Budget Update'!$F$1:$AC$1&lt;=$K$4),"""")"),4907.74)</f>
        <v>4907.74</v>
      </c>
      <c r="Q142" s="102">
        <f t="shared" si="98"/>
        <v>0</v>
      </c>
      <c r="R142" s="77"/>
    </row>
    <row r="143">
      <c r="A143" s="185" t="s">
        <v>393</v>
      </c>
      <c r="B143" s="178"/>
      <c r="C143" s="100"/>
      <c r="D143" s="100"/>
      <c r="E143" s="99">
        <f t="shared" si="94"/>
        <v>0</v>
      </c>
      <c r="F143" s="101" t="str">
        <f t="shared" si="95"/>
        <v>2563-6391</v>
      </c>
      <c r="G143" s="99"/>
      <c r="H143" s="102" t="str">
        <f t="shared" si="93"/>
        <v/>
      </c>
      <c r="I143" s="77"/>
      <c r="J143" s="103"/>
      <c r="K143" s="104" t="str">
        <f t="shared" si="96"/>
        <v/>
      </c>
      <c r="L143" s="187"/>
      <c r="M143" s="103">
        <f>IFNA(VLOOKUP($F143,'FY22 Budget Update'!$C:$E,3,false),0)</f>
        <v>119455</v>
      </c>
      <c r="N143" s="104">
        <f t="shared" si="97"/>
        <v>0</v>
      </c>
      <c r="O143" s="77"/>
      <c r="P143" s="106">
        <f>IFERROR(__xludf.DUMMYFUNCTION("IFERROR(SUMPRODUCT(FILTER('FY22 Budget Update'!$F$2:$AC1071,'FY22 Budget Update'!$C$2:$C1071=$F143),'FY22 Budget Update'!$F$1:$AC$1&lt;=$K$4),"""")"),119454.96)</f>
        <v>119454.96</v>
      </c>
      <c r="Q143" s="102">
        <f t="shared" si="98"/>
        <v>0</v>
      </c>
      <c r="R143" s="77"/>
    </row>
    <row r="144">
      <c r="A144" s="185" t="s">
        <v>394</v>
      </c>
      <c r="B144" s="178">
        <v>1600.0</v>
      </c>
      <c r="C144" s="100"/>
      <c r="D144" s="100"/>
      <c r="E144" s="99">
        <f t="shared" si="94"/>
        <v>1600</v>
      </c>
      <c r="F144" s="101"/>
      <c r="G144" s="99"/>
      <c r="H144" s="102" t="str">
        <f t="shared" si="93"/>
        <v/>
      </c>
      <c r="I144" s="77"/>
      <c r="J144" s="103"/>
      <c r="K144" s="104"/>
      <c r="L144" s="105"/>
      <c r="M144" s="103"/>
      <c r="N144" s="104"/>
      <c r="O144" s="77"/>
      <c r="P144" s="106"/>
      <c r="Q144" s="102"/>
      <c r="R144" s="77"/>
    </row>
    <row r="145">
      <c r="A145" s="186" t="s">
        <v>395</v>
      </c>
      <c r="B145" s="178"/>
      <c r="C145" s="100"/>
      <c r="D145" s="100"/>
      <c r="E145" s="99">
        <f t="shared" si="94"/>
        <v>0</v>
      </c>
      <c r="F145" s="101" t="str">
        <f>LEFT(TRIM(A144),9)</f>
        <v>2911-6319</v>
      </c>
      <c r="G145" s="99"/>
      <c r="H145" s="102" t="str">
        <f t="shared" si="93"/>
        <v/>
      </c>
      <c r="I145" s="77"/>
      <c r="J145" s="103">
        <f>IFERROR(__xludf.DUMMYFUNCTION("IFERROR(SUMPRODUCT(FILTER('FY22 Budget'!$F$2:$AC$71,'FY22 Budget'!$C$2:$C$71=$F145),'FY22 Budget'!$F$1:$AC$1&lt;=$K$4),"""")"),254900.76000000004)</f>
        <v>254900.76</v>
      </c>
      <c r="K145" s="104">
        <f t="shared" ref="K145:K146" si="100">IFERROR($E145/J145,"")</f>
        <v>0</v>
      </c>
      <c r="L145" s="105"/>
      <c r="M145" s="103">
        <f>IFNA(VLOOKUP($F145,'FY22 Budget Update'!$C:$E,3,false),0)</f>
        <v>254900.76</v>
      </c>
      <c r="N145" s="104">
        <f t="shared" ref="N145:N146" si="101">IFERROR($E145/M145,"")</f>
        <v>0</v>
      </c>
      <c r="O145" s="77"/>
      <c r="P145" s="106">
        <f>IFERROR(__xludf.DUMMYFUNCTION("IFERROR(SUMPRODUCT(FILTER('FY22 Budget Update'!$F$2:$AC1071,'FY22 Budget Update'!$C$2:$C1071=$F145),'FY22 Budget Update'!$F$1:$AC$1&lt;=$K$4),"""")"),254900.76000000004)</f>
        <v>254900.76</v>
      </c>
      <c r="Q145" s="102">
        <f t="shared" ref="Q145:Q146" si="102">IFERROR($E145/P145,"")</f>
        <v>0</v>
      </c>
      <c r="R145" s="77"/>
    </row>
    <row r="146">
      <c r="A146" s="185" t="s">
        <v>396</v>
      </c>
      <c r="B146" s="184">
        <f t="shared" ref="B146:E146" si="99">SUM(B136:B145)</f>
        <v>9378.5</v>
      </c>
      <c r="C146" s="110">
        <f t="shared" si="99"/>
        <v>0</v>
      </c>
      <c r="D146" s="110">
        <f t="shared" si="99"/>
        <v>0</v>
      </c>
      <c r="E146" s="110">
        <f t="shared" si="99"/>
        <v>9378.5</v>
      </c>
      <c r="F146" s="101" t="str">
        <f t="shared" ref="F146:F149" si="103">LEFT(TRIM(A146),9)</f>
        <v>Total 000</v>
      </c>
      <c r="G146" s="108">
        <f>SUM(G136:G145)</f>
        <v>139130</v>
      </c>
      <c r="H146" s="109">
        <f>IFERROR($E146/G146,"")</f>
        <v>0.0674081794</v>
      </c>
      <c r="I146" s="77"/>
      <c r="J146" s="110">
        <f>SUM(J137:J145)</f>
        <v>376350.82</v>
      </c>
      <c r="K146" s="111">
        <f t="shared" si="100"/>
        <v>0.0249195684</v>
      </c>
      <c r="L146" s="105"/>
      <c r="M146" s="110">
        <f>SUM(M137:M145)</f>
        <v>382108.24</v>
      </c>
      <c r="N146" s="111">
        <f t="shared" si="101"/>
        <v>0.02454409253</v>
      </c>
      <c r="O146" s="77"/>
      <c r="P146" s="108">
        <f>SUM(P137:P145)</f>
        <v>382108.2</v>
      </c>
      <c r="Q146" s="112">
        <f t="shared" si="102"/>
        <v>0.0245440951</v>
      </c>
      <c r="R146" s="77"/>
    </row>
    <row r="147">
      <c r="A147" s="188" t="s">
        <v>397</v>
      </c>
      <c r="B147" s="176"/>
      <c r="C147" s="100"/>
      <c r="D147" s="100"/>
      <c r="E147" s="106"/>
      <c r="F147" s="101" t="str">
        <f t="shared" si="103"/>
        <v>0000-6XXX</v>
      </c>
      <c r="G147" s="106"/>
      <c r="H147" s="102" t="str">
        <f t="shared" ref="H147:H161" si="104">IFERROR(E147/G147,"")</f>
        <v/>
      </c>
      <c r="I147" s="77"/>
      <c r="J147" s="103"/>
      <c r="K147" s="104"/>
      <c r="L147" s="105"/>
      <c r="M147" s="103"/>
      <c r="N147" s="104" t="str">
        <f>IFERROR(K147/M147,"")</f>
        <v/>
      </c>
      <c r="O147" s="77"/>
      <c r="P147" s="106"/>
      <c r="Q147" s="102"/>
      <c r="R147" s="77"/>
    </row>
    <row r="148">
      <c r="A148" s="188" t="s">
        <v>398</v>
      </c>
      <c r="B148" s="178"/>
      <c r="C148" s="100"/>
      <c r="D148" s="100"/>
      <c r="E148" s="99">
        <f t="shared" ref="E148:E184" si="105">SUM(B148:D148)</f>
        <v>0</v>
      </c>
      <c r="F148" s="101" t="str">
        <f t="shared" si="103"/>
        <v>2311-6315</v>
      </c>
      <c r="G148" s="99"/>
      <c r="H148" s="102" t="str">
        <f t="shared" si="104"/>
        <v/>
      </c>
      <c r="I148" s="77"/>
      <c r="J148" s="103">
        <f>IFERROR(__xludf.DUMMYFUNCTION("IFERROR(SUMPRODUCT(FILTER('FY22 Budget'!$F$2:$AC$71,'FY22 Budget'!$C$2:$C$71=$F148),'FY22 Budget'!$F$1:$AC$1&lt;=$K$4),"""")"),14375.0)</f>
        <v>14375</v>
      </c>
      <c r="K148" s="104">
        <f t="shared" ref="K148:K149" si="106">IFERROR($E148/J148,"")</f>
        <v>0</v>
      </c>
      <c r="L148" s="105"/>
      <c r="M148" s="103">
        <f>IFNA(VLOOKUP($F148,'FY22 Budget Update'!$C:$E,3,false),0)</f>
        <v>20600</v>
      </c>
      <c r="N148" s="104">
        <f t="shared" ref="N148:N149" si="107">IFERROR($E148/M148,"")</f>
        <v>0</v>
      </c>
      <c r="O148" s="77"/>
      <c r="P148" s="106">
        <f>IFERROR(__xludf.DUMMYFUNCTION("IFERROR(SUMPRODUCT(FILTER('FY22 Budget Update'!$F$2:$AC$72,'FY22 Budget Update'!$C$2:$C$72=$F148),'FY22 Budget Update'!$F$1:$AC$1&lt;=$K$4),"""")"),20600.0)</f>
        <v>20600</v>
      </c>
      <c r="Q148" s="102">
        <f t="shared" ref="Q148:Q149" si="108">IFERROR($E148/P148,"")</f>
        <v>0</v>
      </c>
      <c r="R148" s="77"/>
    </row>
    <row r="149">
      <c r="A149" s="188" t="s">
        <v>399</v>
      </c>
      <c r="B149" s="113">
        <v>15001.45</v>
      </c>
      <c r="C149" s="100"/>
      <c r="D149" s="100"/>
      <c r="E149" s="99">
        <f t="shared" si="105"/>
        <v>15001.45</v>
      </c>
      <c r="F149" s="101" t="str">
        <f t="shared" si="103"/>
        <v>2311-6317</v>
      </c>
      <c r="G149" s="99"/>
      <c r="H149" s="102" t="str">
        <f t="shared" si="104"/>
        <v/>
      </c>
      <c r="I149" s="77"/>
      <c r="J149" s="103">
        <f>IFERROR(__xludf.DUMMYFUNCTION("IFERROR(SUMPRODUCT(FILTER('FY22 Budget'!$F$2:$AC$71,'FY22 Budget'!$C$2:$C$71=$F149),'FY22 Budget'!$F$1:$AC$1&lt;=$K$4),"""")"),12330.08)</f>
        <v>12330.08</v>
      </c>
      <c r="K149" s="104">
        <f t="shared" si="106"/>
        <v>1.216654718</v>
      </c>
      <c r="L149" s="105"/>
      <c r="M149" s="103">
        <f>IFNA(VLOOKUP($F149,'FY22 Budget Update'!$C:$E,3,false),0)</f>
        <v>12330</v>
      </c>
      <c r="N149" s="104">
        <f t="shared" si="107"/>
        <v>1.216662612</v>
      </c>
      <c r="O149" s="77"/>
      <c r="P149" s="106">
        <f>IFERROR(__xludf.DUMMYFUNCTION("IFERROR(SUMPRODUCT(FILTER('FY22 Budget Update'!$F$2:$AC$72,'FY22 Budget Update'!$C$2:$C$72=$F149),'FY22 Budget Update'!$F$1:$AC$1&lt;=$K$4),"""")"),12330.08)</f>
        <v>12330.08</v>
      </c>
      <c r="Q149" s="102">
        <f t="shared" si="108"/>
        <v>1.216654718</v>
      </c>
      <c r="R149" s="77"/>
    </row>
    <row r="150">
      <c r="A150" s="189" t="s">
        <v>400</v>
      </c>
      <c r="B150" s="113"/>
      <c r="C150" s="100"/>
      <c r="D150" s="100"/>
      <c r="E150" s="99">
        <f t="shared" si="105"/>
        <v>0</v>
      </c>
      <c r="F150" s="101"/>
      <c r="G150" s="99"/>
      <c r="H150" s="102" t="str">
        <f t="shared" si="104"/>
        <v/>
      </c>
      <c r="I150" s="77"/>
      <c r="J150" s="103"/>
      <c r="K150" s="104"/>
      <c r="L150" s="105"/>
      <c r="M150" s="103"/>
      <c r="N150" s="104"/>
      <c r="O150" s="77"/>
      <c r="P150" s="106"/>
      <c r="Q150" s="102"/>
      <c r="R150" s="77"/>
    </row>
    <row r="151">
      <c r="A151" s="188" t="s">
        <v>401</v>
      </c>
      <c r="B151" s="178">
        <v>3059.0</v>
      </c>
      <c r="C151" s="100"/>
      <c r="D151" s="100"/>
      <c r="E151" s="99">
        <f t="shared" si="105"/>
        <v>3059</v>
      </c>
      <c r="F151" s="101" t="str">
        <f t="shared" ref="F151:F154" si="109">LEFT(TRIM(A151),9)</f>
        <v>2311-6352</v>
      </c>
      <c r="G151" s="99"/>
      <c r="H151" s="102" t="str">
        <f t="shared" si="104"/>
        <v/>
      </c>
      <c r="I151" s="77"/>
      <c r="J151" s="103">
        <f>IFERROR(__xludf.DUMMYFUNCTION("IFERROR(SUMPRODUCT(FILTER('FY22 Budget'!$F$2:$AC$71,'FY22 Budget'!$C$2:$C$71=$F151),'FY22 Budget'!$F$1:$AC$1&lt;=$K$4),"""")"),67750.29)</f>
        <v>67750.29</v>
      </c>
      <c r="K151" s="104">
        <f t="shared" ref="K151:K154" si="110">IFERROR($E151/J151,"")</f>
        <v>0.04515109825</v>
      </c>
      <c r="L151" s="105"/>
      <c r="M151" s="103">
        <f>IFNA(VLOOKUP($F151,'FY22 Budget Update'!$C:$E,3,false),0)</f>
        <v>22610.5</v>
      </c>
      <c r="N151" s="104">
        <f t="shared" ref="N151:N153" si="111">IFERROR($E151/M151,"")</f>
        <v>0.1352911258</v>
      </c>
      <c r="O151" s="77"/>
      <c r="P151" s="106">
        <f>IFERROR(__xludf.DUMMYFUNCTION("IFERROR(SUMPRODUCT(FILTER('FY22 Budget Update'!$F$2:$AC$72,'FY22 Budget Update'!$C$2:$C$72=$F151),'FY22 Budget Update'!$F$1:$AC$1&lt;=$K$4),"""")"),22610.5)</f>
        <v>22610.5</v>
      </c>
      <c r="Q151" s="102">
        <f t="shared" ref="Q151:Q154" si="112">IFERROR($E151/P151,"")</f>
        <v>0.1352911258</v>
      </c>
      <c r="R151" s="77"/>
    </row>
    <row r="152">
      <c r="A152" s="188" t="s">
        <v>402</v>
      </c>
      <c r="B152" s="178"/>
      <c r="C152" s="100"/>
      <c r="D152" s="100"/>
      <c r="E152" s="99">
        <f t="shared" si="105"/>
        <v>0</v>
      </c>
      <c r="F152" s="101" t="str">
        <f t="shared" si="109"/>
        <v>2321-6271</v>
      </c>
      <c r="G152" s="99"/>
      <c r="H152" s="102" t="str">
        <f t="shared" si="104"/>
        <v/>
      </c>
      <c r="I152" s="77"/>
      <c r="J152" s="103">
        <f>IFERROR(__xludf.DUMMYFUNCTION("IFERROR(SUMPRODUCT(FILTER('FY22 Budget'!$F$2:$AC$71,'FY22 Budget'!$C$2:$C$71=$F152),'FY22 Budget'!$F$1:$AC$1&lt;=$K$4),"""")"),20000.04)</f>
        <v>20000.04</v>
      </c>
      <c r="K152" s="104">
        <f t="shared" si="110"/>
        <v>0</v>
      </c>
      <c r="L152" s="105"/>
      <c r="M152" s="103" t="str">
        <f>IFNA(VLOOKUP($F152,'FY22 Budget Update'!$C:$E,3,false),0)</f>
        <v/>
      </c>
      <c r="N152" s="104" t="str">
        <f t="shared" si="111"/>
        <v/>
      </c>
      <c r="O152" s="77"/>
      <c r="P152" s="106">
        <f>IFERROR(__xludf.DUMMYFUNCTION("IFERROR(SUMPRODUCT(FILTER('FY22 Budget Update'!$F$2:$AC$72,'FY22 Budget Update'!$C$2:$C$72=$F152),'FY22 Budget Update'!$F$1:$AC$1&lt;=$K$4),"""")"),20000.04)</f>
        <v>20000.04</v>
      </c>
      <c r="Q152" s="102">
        <f t="shared" si="112"/>
        <v>0</v>
      </c>
      <c r="R152" s="77"/>
    </row>
    <row r="153">
      <c r="A153" s="189" t="s">
        <v>403</v>
      </c>
      <c r="B153" s="178">
        <v>114527.0</v>
      </c>
      <c r="C153" s="100"/>
      <c r="D153" s="100"/>
      <c r="E153" s="99">
        <f t="shared" si="105"/>
        <v>114527</v>
      </c>
      <c r="F153" s="101" t="str">
        <f t="shared" si="109"/>
        <v>2321-6319</v>
      </c>
      <c r="G153" s="99"/>
      <c r="H153" s="102" t="str">
        <f t="shared" si="104"/>
        <v/>
      </c>
      <c r="I153" s="77"/>
      <c r="J153" s="103">
        <f>IFERROR(__xludf.DUMMYFUNCTION("IFERROR(SUMPRODUCT(FILTER('FY22 Budget'!$F$2:$AC$71,'FY22 Budget'!$C$2:$C$71=$F153),'FY22 Budget'!$F$1:$AC$1&lt;=$K$4),"""")"),483101.87999999995)</f>
        <v>483101.88</v>
      </c>
      <c r="K153" s="104">
        <f t="shared" si="110"/>
        <v>0.2370659373</v>
      </c>
      <c r="L153" s="105"/>
      <c r="M153" s="103">
        <f>IFNA(VLOOKUP($F153,'FY22 Budget Update'!$C:$E,3,false),0)</f>
        <v>509765.94</v>
      </c>
      <c r="N153" s="104">
        <f t="shared" si="111"/>
        <v>0.2246658535</v>
      </c>
      <c r="O153" s="77"/>
      <c r="P153" s="106">
        <f>IFERROR(__xludf.DUMMYFUNCTION("IFERROR(SUMPRODUCT(FILTER('FY22 Budget Update'!$F$2:$AC$72,'FY22 Budget Update'!$C$2:$C$72=$F153),'FY22 Budget Update'!$F$1:$AC$1&lt;=$K$4),"""")"),509765.98)</f>
        <v>509765.98</v>
      </c>
      <c r="Q153" s="102">
        <f t="shared" si="112"/>
        <v>0.2246658359</v>
      </c>
      <c r="R153" s="77"/>
    </row>
    <row r="154">
      <c r="A154" s="188" t="s">
        <v>404</v>
      </c>
      <c r="B154" s="178">
        <v>21279.34</v>
      </c>
      <c r="C154" s="100"/>
      <c r="D154" s="100"/>
      <c r="E154" s="99">
        <f t="shared" si="105"/>
        <v>21279.34</v>
      </c>
      <c r="F154" s="101" t="str">
        <f t="shared" si="109"/>
        <v>2321-6343</v>
      </c>
      <c r="G154" s="99"/>
      <c r="H154" s="102" t="str">
        <f t="shared" si="104"/>
        <v/>
      </c>
      <c r="I154" s="77"/>
      <c r="J154" s="103" t="str">
        <f>IFERROR(__xludf.DUMMYFUNCTION("IFERROR(SUMPRODUCT(FILTER('FY22 Budget'!$F$2:$AC$71,'FY22 Budget'!$C$2:$C$71=$F154),'FY22 Budget'!$F$1:$AC$1&lt;=$K$4),"""")"),"")</f>
        <v/>
      </c>
      <c r="K154" s="104" t="str">
        <f t="shared" si="110"/>
        <v/>
      </c>
      <c r="L154" s="105"/>
      <c r="M154" s="103">
        <f>IFNA(VLOOKUP($F154,'FY22 Budget Update'!$C:$E,3,false),0)</f>
        <v>0</v>
      </c>
      <c r="N154" s="104" t="str">
        <f>IFERROR(K154/M154,"")</f>
        <v/>
      </c>
      <c r="O154" s="77"/>
      <c r="P154" s="106" t="str">
        <f>IFERROR(__xludf.DUMMYFUNCTION("IFERROR(SUMPRODUCT(FILTER('FY22 Budget Update'!$F$2:$AC$72,'FY22 Budget Update'!$C$2:$C$72=$F154),'FY22 Budget Update'!$F$1:$AC$1&lt;=$K$4),"""")"),"")</f>
        <v/>
      </c>
      <c r="Q154" s="102" t="str">
        <f t="shared" si="112"/>
        <v/>
      </c>
      <c r="R154" s="77"/>
    </row>
    <row r="155">
      <c r="A155" s="189" t="s">
        <v>405</v>
      </c>
      <c r="B155" s="178"/>
      <c r="C155" s="100"/>
      <c r="D155" s="100"/>
      <c r="E155" s="99">
        <f t="shared" si="105"/>
        <v>0</v>
      </c>
      <c r="F155" s="101"/>
      <c r="G155" s="99"/>
      <c r="H155" s="102" t="str">
        <f t="shared" si="104"/>
        <v/>
      </c>
      <c r="I155" s="77"/>
      <c r="J155" s="103" t="str">
        <f>IFERROR(__xludf.DUMMYFUNCTION("IFERROR(SUMPRODUCT(FILTER('FY22 Budget'!$F$2:$AC$71,'FY22 Budget'!$C$2:$C$71=#REF!),'FY22 Budget'!$F$1:$AC$1&lt;=$K$4),"""")"),"")</f>
        <v/>
      </c>
      <c r="K155" s="104" t="str">
        <f>IFERROR(#REF!/J155,"")</f>
        <v/>
      </c>
      <c r="L155" s="105"/>
      <c r="M155" s="103"/>
      <c r="N155" s="104"/>
      <c r="O155" s="77"/>
      <c r="P155" s="106"/>
      <c r="Q155" s="102"/>
      <c r="R155" s="77"/>
    </row>
    <row r="156">
      <c r="A156" s="188" t="s">
        <v>406</v>
      </c>
      <c r="B156" s="178">
        <v>6873.97</v>
      </c>
      <c r="C156" s="100"/>
      <c r="D156" s="100"/>
      <c r="E156" s="99">
        <f t="shared" si="105"/>
        <v>6873.97</v>
      </c>
      <c r="F156" s="101" t="str">
        <f t="shared" ref="F156:F159" si="113">LEFT(TRIM(A156),9)</f>
        <v>2321-6371</v>
      </c>
      <c r="G156" s="99"/>
      <c r="H156" s="102" t="str">
        <f t="shared" si="104"/>
        <v/>
      </c>
      <c r="I156" s="77"/>
      <c r="J156" s="103">
        <f>IFERROR(__xludf.DUMMYFUNCTION("IFERROR(SUMPRODUCT(FILTER('FY22 Budget'!$F$2:$AC$71,'FY22 Budget'!$C$2:$C$71=$F156),'FY22 Budget'!$F$1:$AC$1&lt;=$K$4),"""")"),4620.0)</f>
        <v>4620</v>
      </c>
      <c r="K156" s="104">
        <f t="shared" ref="K156:K159" si="114">IFERROR($E156/J156,"")</f>
        <v>1.487872294</v>
      </c>
      <c r="L156" s="105"/>
      <c r="M156" s="103">
        <f>IFNA(VLOOKUP($F156,'FY22 Budget Update'!$C:$E,3,false),0)</f>
        <v>4620</v>
      </c>
      <c r="N156" s="104">
        <f>IFERROR($E156/M156,"")</f>
        <v>1.487872294</v>
      </c>
      <c r="O156" s="77"/>
      <c r="P156" s="106">
        <f>IFERROR(__xludf.DUMMYFUNCTION("IFERROR(SUMPRODUCT(FILTER('FY22 Budget Update'!$F$2:$AC$72,'FY22 Budget Update'!$C$2:$C$72=$F156),'FY22 Budget Update'!$F$1:$AC$1&lt;=$K$4),"""")"),4620.0)</f>
        <v>4620</v>
      </c>
      <c r="Q156" s="102">
        <f t="shared" ref="Q156:Q159" si="115">IFERROR($E156/P156,"")</f>
        <v>1.487872294</v>
      </c>
      <c r="R156" s="77"/>
    </row>
    <row r="157">
      <c r="A157" s="189" t="s">
        <v>407</v>
      </c>
      <c r="B157" s="178">
        <v>7937.62</v>
      </c>
      <c r="C157" s="100"/>
      <c r="D157" s="100"/>
      <c r="E157" s="99">
        <f t="shared" si="105"/>
        <v>7937.62</v>
      </c>
      <c r="F157" s="101" t="str">
        <f t="shared" si="113"/>
        <v>2321-6391</v>
      </c>
      <c r="G157" s="99"/>
      <c r="H157" s="102" t="str">
        <f t="shared" si="104"/>
        <v/>
      </c>
      <c r="I157" s="77"/>
      <c r="J157" s="103" t="str">
        <f>IFERROR(__xludf.DUMMYFUNCTION("IFERROR(SUMPRODUCT(FILTER('FY22 Budget'!$F$2:$AC$71,'FY22 Budget'!$C$2:$C$71=$F157),'FY22 Budget'!$F$1:$AC$1&lt;=$K$4),"""")"),"")</f>
        <v/>
      </c>
      <c r="K157" s="104" t="str">
        <f t="shared" si="114"/>
        <v/>
      </c>
      <c r="L157" s="105"/>
      <c r="M157" s="103">
        <f>IFNA(VLOOKUP($F157,'FY22 Budget Update'!$C:$E,3,false),0)</f>
        <v>0</v>
      </c>
      <c r="N157" s="104" t="str">
        <f>IFERROR(K157/M157,"")</f>
        <v/>
      </c>
      <c r="O157" s="77"/>
      <c r="P157" s="106" t="str">
        <f>IFERROR(__xludf.DUMMYFUNCTION("IFERROR(SUMPRODUCT(FILTER('FY22 Budget Update'!$F$2:$AC$72,'FY22 Budget Update'!$C$2:$C$72=$F157),'FY22 Budget Update'!$F$1:$AC$1&lt;=$K$4),"""")"),"")</f>
        <v/>
      </c>
      <c r="Q157" s="102" t="str">
        <f t="shared" si="115"/>
        <v/>
      </c>
      <c r="R157" s="77"/>
    </row>
    <row r="158">
      <c r="A158" s="188" t="s">
        <v>408</v>
      </c>
      <c r="B158" s="178">
        <v>19597.61</v>
      </c>
      <c r="C158" s="100"/>
      <c r="D158" s="100"/>
      <c r="E158" s="99">
        <f t="shared" si="105"/>
        <v>19597.61</v>
      </c>
      <c r="F158" s="101" t="str">
        <f t="shared" si="113"/>
        <v>2321-6411</v>
      </c>
      <c r="G158" s="99"/>
      <c r="H158" s="102" t="str">
        <f t="shared" si="104"/>
        <v/>
      </c>
      <c r="I158" s="77"/>
      <c r="J158" s="103">
        <f>IFERROR(__xludf.DUMMYFUNCTION("IFERROR(SUMPRODUCT(FILTER('FY22 Budget'!$F$2:$AC$71,'FY22 Budget'!$C$2:$C$71=$F158),'FY22 Budget'!$F$1:$AC$1&lt;=$K$4),"""")"),13306.16)</f>
        <v>13306.16</v>
      </c>
      <c r="K158" s="104">
        <f t="shared" si="114"/>
        <v>1.472822362</v>
      </c>
      <c r="L158" s="105"/>
      <c r="M158" s="103">
        <f>IFNA(VLOOKUP($F158,'FY22 Budget Update'!$C:$E,3,false),0)</f>
        <v>13306.16</v>
      </c>
      <c r="N158" s="104">
        <f>IFERROR($E158/M158,"")</f>
        <v>1.472822362</v>
      </c>
      <c r="O158" s="77"/>
      <c r="P158" s="106">
        <f>IFERROR(__xludf.DUMMYFUNCTION("IFERROR(SUMPRODUCT(FILTER('FY22 Budget Update'!$F$2:$AC$72,'FY22 Budget Update'!$C$2:$C$72=$F158),'FY22 Budget Update'!$F$1:$AC$1&lt;=$K$4),"""")"),13306.16)</f>
        <v>13306.16</v>
      </c>
      <c r="Q158" s="102">
        <f t="shared" si="115"/>
        <v>1.472822362</v>
      </c>
      <c r="R158" s="77"/>
    </row>
    <row r="159">
      <c r="A159" s="188" t="s">
        <v>409</v>
      </c>
      <c r="B159" s="178">
        <v>10701.56</v>
      </c>
      <c r="C159" s="100"/>
      <c r="D159" s="100"/>
      <c r="E159" s="99">
        <f t="shared" si="105"/>
        <v>10701.56</v>
      </c>
      <c r="F159" s="101" t="str">
        <f t="shared" si="113"/>
        <v>2321-6412</v>
      </c>
      <c r="G159" s="99"/>
      <c r="H159" s="102" t="str">
        <f t="shared" si="104"/>
        <v/>
      </c>
      <c r="I159" s="77"/>
      <c r="J159" s="103" t="str">
        <f>IFERROR(__xludf.DUMMYFUNCTION("IFERROR(SUMPRODUCT(FILTER('FY22 Budget'!$F$2:$AC$71,'FY22 Budget'!$C$2:$C$71=$F159),'FY22 Budget'!$F$1:$AC$1&lt;=$K$4),"""")"),"")</f>
        <v/>
      </c>
      <c r="K159" s="104" t="str">
        <f t="shared" si="114"/>
        <v/>
      </c>
      <c r="L159" s="105"/>
      <c r="M159" s="103">
        <f>IFNA(VLOOKUP($F159,'FY22 Budget Update'!$C:$E,3,false),0)</f>
        <v>0</v>
      </c>
      <c r="N159" s="104" t="str">
        <f>IFERROR(K159/M159,"")</f>
        <v/>
      </c>
      <c r="O159" s="77"/>
      <c r="P159" s="106" t="str">
        <f>IFERROR(__xludf.DUMMYFUNCTION("IFERROR(SUMPRODUCT(FILTER('FY22 Budget Update'!$F$2:$AC$72,'FY22 Budget Update'!$C$2:$C$72=$F159),'FY22 Budget Update'!$F$1:$AC$1&lt;=$K$4),"""")"),"")</f>
        <v/>
      </c>
      <c r="Q159" s="102" t="str">
        <f t="shared" si="115"/>
        <v/>
      </c>
      <c r="R159" s="77"/>
    </row>
    <row r="160">
      <c r="A160" s="189" t="s">
        <v>410</v>
      </c>
      <c r="B160" s="178">
        <v>2205.93</v>
      </c>
      <c r="C160" s="100"/>
      <c r="D160" s="100"/>
      <c r="E160" s="99">
        <f t="shared" si="105"/>
        <v>2205.93</v>
      </c>
      <c r="F160" s="101"/>
      <c r="G160" s="99"/>
      <c r="H160" s="102" t="str">
        <f t="shared" si="104"/>
        <v/>
      </c>
      <c r="I160" s="77"/>
      <c r="J160" s="103"/>
      <c r="K160" s="104"/>
      <c r="L160" s="105"/>
      <c r="M160" s="103"/>
      <c r="N160" s="104"/>
      <c r="O160" s="77"/>
      <c r="P160" s="106"/>
      <c r="Q160" s="102"/>
      <c r="R160" s="77"/>
    </row>
    <row r="161">
      <c r="A161" s="189" t="s">
        <v>411</v>
      </c>
      <c r="B161" s="178">
        <v>535.51</v>
      </c>
      <c r="C161" s="100"/>
      <c r="D161" s="100"/>
      <c r="E161" s="99">
        <f t="shared" si="105"/>
        <v>535.51</v>
      </c>
      <c r="F161" s="101"/>
      <c r="G161" s="99"/>
      <c r="H161" s="102" t="str">
        <f t="shared" si="104"/>
        <v/>
      </c>
      <c r="I161" s="77"/>
      <c r="J161" s="103"/>
      <c r="K161" s="104"/>
      <c r="L161" s="105"/>
      <c r="M161" s="103"/>
      <c r="N161" s="104"/>
      <c r="O161" s="77"/>
      <c r="P161" s="106"/>
      <c r="Q161" s="102"/>
      <c r="R161" s="77"/>
    </row>
    <row r="162">
      <c r="A162" s="189" t="s">
        <v>412</v>
      </c>
      <c r="B162" s="178">
        <v>1600.0</v>
      </c>
      <c r="C162" s="100"/>
      <c r="D162" s="100"/>
      <c r="E162" s="99">
        <f t="shared" si="105"/>
        <v>1600</v>
      </c>
      <c r="F162" s="101"/>
      <c r="G162" s="99"/>
      <c r="H162" s="102"/>
      <c r="I162" s="77"/>
      <c r="J162" s="103"/>
      <c r="K162" s="104"/>
      <c r="L162" s="105"/>
      <c r="M162" s="103"/>
      <c r="N162" s="104"/>
      <c r="O162" s="77"/>
      <c r="P162" s="106"/>
      <c r="Q162" s="102"/>
      <c r="R162" s="77"/>
    </row>
    <row r="163">
      <c r="A163" s="189" t="s">
        <v>413</v>
      </c>
      <c r="B163" s="178">
        <v>14463.51</v>
      </c>
      <c r="C163" s="100"/>
      <c r="D163" s="100"/>
      <c r="E163" s="99">
        <f t="shared" si="105"/>
        <v>14463.51</v>
      </c>
      <c r="F163" s="101"/>
      <c r="G163" s="99"/>
      <c r="H163" s="102"/>
      <c r="I163" s="77"/>
      <c r="J163" s="103"/>
      <c r="K163" s="104"/>
      <c r="L163" s="105"/>
      <c r="M163" s="103"/>
      <c r="N163" s="104"/>
      <c r="O163" s="77"/>
      <c r="P163" s="106"/>
      <c r="Q163" s="102"/>
      <c r="R163" s="77"/>
    </row>
    <row r="164">
      <c r="A164" s="189" t="s">
        <v>414</v>
      </c>
      <c r="B164" s="178">
        <v>1732.47</v>
      </c>
      <c r="C164" s="100"/>
      <c r="D164" s="100"/>
      <c r="E164" s="99">
        <f t="shared" si="105"/>
        <v>1732.47</v>
      </c>
      <c r="F164" s="101"/>
      <c r="G164" s="99"/>
      <c r="H164" s="102"/>
      <c r="I164" s="77"/>
      <c r="J164" s="103"/>
      <c r="K164" s="104"/>
      <c r="L164" s="105"/>
      <c r="M164" s="103"/>
      <c r="N164" s="104"/>
      <c r="O164" s="77"/>
      <c r="P164" s="106"/>
      <c r="Q164" s="102"/>
      <c r="R164" s="77"/>
    </row>
    <row r="165">
      <c r="A165" s="189" t="s">
        <v>415</v>
      </c>
      <c r="B165" s="178">
        <v>3282.54</v>
      </c>
      <c r="C165" s="100"/>
      <c r="D165" s="100"/>
      <c r="E165" s="99">
        <f t="shared" si="105"/>
        <v>3282.54</v>
      </c>
      <c r="F165" s="101"/>
      <c r="G165" s="99"/>
      <c r="H165" s="102"/>
      <c r="I165" s="77"/>
      <c r="J165" s="103"/>
      <c r="K165" s="104"/>
      <c r="L165" s="105"/>
      <c r="M165" s="103"/>
      <c r="N165" s="104"/>
      <c r="O165" s="77"/>
      <c r="P165" s="106"/>
      <c r="Q165" s="102"/>
      <c r="R165" s="77"/>
    </row>
    <row r="166">
      <c r="A166" s="189" t="s">
        <v>416</v>
      </c>
      <c r="B166" s="113">
        <v>-6941.89</v>
      </c>
      <c r="C166" s="100"/>
      <c r="D166" s="100"/>
      <c r="E166" s="99">
        <f t="shared" si="105"/>
        <v>-6941.89</v>
      </c>
      <c r="F166" s="101" t="str">
        <f t="shared" ref="F166:F168" si="116">LEFT(TRIM(A166),9)</f>
        <v>2331-6316</v>
      </c>
      <c r="G166" s="99"/>
      <c r="H166" s="102" t="str">
        <f t="shared" ref="H166:H168" si="117">IFERROR(E166/G166,"")</f>
        <v/>
      </c>
      <c r="I166" s="77"/>
      <c r="J166" s="103">
        <f>IFERROR(__xludf.DUMMYFUNCTION("IFERROR(SUMPRODUCT(FILTER('FY22 Budget'!$F$2:$AC$71,'FY22 Budget'!$C$2:$C$71=$F166),'FY22 Budget'!$F$1:$AC$1&lt;=$K$4),"""")"),48528.0)</f>
        <v>48528</v>
      </c>
      <c r="K166" s="104">
        <f t="shared" ref="K166:K168" si="118">IFERROR($E166/J166,"")</f>
        <v>-0.1430491675</v>
      </c>
      <c r="L166" s="105"/>
      <c r="M166" s="103">
        <f>IFNA(VLOOKUP($F166,'FY22 Budget Update'!$C:$E,3,false),0)</f>
        <v>41236.96</v>
      </c>
      <c r="N166" s="104">
        <f>IFERROR($E166/M166,"")</f>
        <v>-0.1683414587</v>
      </c>
      <c r="O166" s="77"/>
      <c r="P166" s="106">
        <f>IFERROR(__xludf.DUMMYFUNCTION("IFERROR(SUMPRODUCT(FILTER('FY22 Budget Update'!$F$2:$AC$72,'FY22 Budget Update'!$C$2:$C$72=$F166),'FY22 Budget Update'!$F$1:$AC$1&lt;=$K$4),"""")"),41236.96)</f>
        <v>41236.96</v>
      </c>
      <c r="Q166" s="102">
        <f t="shared" ref="Q166:Q168" si="119">IFERROR($E166/P166,"")</f>
        <v>-0.1683414587</v>
      </c>
      <c r="R166" s="77"/>
    </row>
    <row r="167">
      <c r="A167" s="188" t="s">
        <v>417</v>
      </c>
      <c r="B167" s="178"/>
      <c r="C167" s="100"/>
      <c r="D167" s="100"/>
      <c r="E167" s="99">
        <f t="shared" si="105"/>
        <v>0</v>
      </c>
      <c r="F167" s="101" t="str">
        <f t="shared" si="116"/>
        <v>2331-6319</v>
      </c>
      <c r="G167" s="99"/>
      <c r="H167" s="102" t="str">
        <f t="shared" si="117"/>
        <v/>
      </c>
      <c r="I167" s="77"/>
      <c r="J167" s="103" t="str">
        <f>IFERROR(__xludf.DUMMYFUNCTION("IFERROR(SUMPRODUCT(FILTER('FY22 Budget'!$F$2:$AC$71,'FY22 Budget'!$C$2:$C$71=$F167),'FY22 Budget'!$F$1:$AC$1&lt;=$K$4),"""")"),"")</f>
        <v/>
      </c>
      <c r="K167" s="104" t="str">
        <f t="shared" si="118"/>
        <v/>
      </c>
      <c r="L167" s="105"/>
      <c r="M167" s="103">
        <f>IFNA(VLOOKUP($F167,'FY22 Budget Update'!$C:$E,3,false),0)</f>
        <v>0</v>
      </c>
      <c r="N167" s="104" t="str">
        <f>IFERROR(K167/M167,"")</f>
        <v/>
      </c>
      <c r="O167" s="77"/>
      <c r="P167" s="106" t="str">
        <f>IFERROR(__xludf.DUMMYFUNCTION("IFERROR(SUMPRODUCT(FILTER('FY22 Budget Update'!$F$2:$AC$72,'FY22 Budget Update'!$C$2:$C$72=$F167),'FY22 Budget Update'!$F$1:$AC$1&lt;=$K$4),"""")"),"")</f>
        <v/>
      </c>
      <c r="Q167" s="102" t="str">
        <f t="shared" si="119"/>
        <v/>
      </c>
      <c r="R167" s="77"/>
    </row>
    <row r="168">
      <c r="A168" s="189" t="s">
        <v>418</v>
      </c>
      <c r="B168" s="178">
        <v>2736.84</v>
      </c>
      <c r="C168" s="100"/>
      <c r="D168" s="100"/>
      <c r="E168" s="99">
        <f t="shared" si="105"/>
        <v>2736.84</v>
      </c>
      <c r="F168" s="101" t="str">
        <f t="shared" si="116"/>
        <v>2331-6338</v>
      </c>
      <c r="G168" s="99"/>
      <c r="H168" s="102" t="str">
        <f t="shared" si="117"/>
        <v/>
      </c>
      <c r="I168" s="77"/>
      <c r="J168" s="103">
        <f>IFERROR(__xludf.DUMMYFUNCTION("IFERROR(SUMPRODUCT(FILTER('FY22 Budget'!$F$2:$AC$71,'FY22 Budget'!$C$2:$C$71=$F168),'FY22 Budget'!$F$1:$AC$1&lt;=$K$4),"""")"),3186.0)</f>
        <v>3186</v>
      </c>
      <c r="K168" s="104">
        <f t="shared" si="118"/>
        <v>0.8590207156</v>
      </c>
      <c r="L168" s="105"/>
      <c r="M168" s="103">
        <f>IFNA(VLOOKUP($F168,'FY22 Budget Update'!$C:$E,3,false),0)</f>
        <v>3186</v>
      </c>
      <c r="N168" s="104">
        <f>IFERROR($E168/M168,"")</f>
        <v>0.8590207156</v>
      </c>
      <c r="O168" s="77"/>
      <c r="P168" s="106">
        <f>IFERROR(__xludf.DUMMYFUNCTION("IFERROR(SUMPRODUCT(FILTER('FY22 Budget Update'!$F$2:$AC$72,'FY22 Budget Update'!$C$2:$C$72=$F168),'FY22 Budget Update'!$F$1:$AC$1&lt;=$K$4),"""")"),3186.0)</f>
        <v>3186</v>
      </c>
      <c r="Q168" s="102">
        <f t="shared" si="119"/>
        <v>0.8590207156</v>
      </c>
      <c r="R168" s="77"/>
    </row>
    <row r="169">
      <c r="A169" s="189" t="s">
        <v>419</v>
      </c>
      <c r="B169" s="178">
        <v>14264.0</v>
      </c>
      <c r="C169" s="100"/>
      <c r="D169" s="100"/>
      <c r="E169" s="99">
        <f t="shared" si="105"/>
        <v>14264</v>
      </c>
      <c r="F169" s="101"/>
      <c r="G169" s="99"/>
      <c r="H169" s="102"/>
      <c r="I169" s="77"/>
      <c r="J169" s="103"/>
      <c r="K169" s="104"/>
      <c r="L169" s="105"/>
      <c r="M169" s="103"/>
      <c r="N169" s="104"/>
      <c r="O169" s="77"/>
      <c r="P169" s="106"/>
      <c r="Q169" s="102"/>
      <c r="R169" s="77"/>
    </row>
    <row r="170">
      <c r="A170" s="188" t="s">
        <v>420</v>
      </c>
      <c r="B170" s="178">
        <v>19.99</v>
      </c>
      <c r="C170" s="100"/>
      <c r="D170" s="100"/>
      <c r="E170" s="99">
        <f t="shared" si="105"/>
        <v>19.99</v>
      </c>
      <c r="F170" s="101" t="str">
        <f t="shared" ref="F170:F171" si="120">LEFT(TRIM(A170),9)</f>
        <v>2331-6412</v>
      </c>
      <c r="G170" s="99"/>
      <c r="H170" s="102" t="str">
        <f t="shared" ref="H170:H173" si="121">IFERROR(E170/G170,"")</f>
        <v/>
      </c>
      <c r="I170" s="77"/>
      <c r="J170" s="103">
        <f>IFERROR(__xludf.DUMMYFUNCTION("IFERROR(SUMPRODUCT(FILTER('FY22 Budget'!$F$2:$AC$71,'FY22 Budget'!$C$2:$C$71=$F170),'FY22 Budget'!$F$1:$AC$1&lt;=$K$4),"""")"),62758.0)</f>
        <v>62758</v>
      </c>
      <c r="K170" s="104">
        <f t="shared" ref="K170:K171" si="122">IFERROR($E170/J170,"")</f>
        <v>0.0003185251283</v>
      </c>
      <c r="L170" s="105"/>
      <c r="M170" s="103">
        <f>IFNA(VLOOKUP($F170,'FY22 Budget Update'!$C:$E,3,false),0)</f>
        <v>6758.02</v>
      </c>
      <c r="N170" s="104">
        <f t="shared" ref="N170:N171" si="123">IFERROR($E170/M170,"")</f>
        <v>0.002957966978</v>
      </c>
      <c r="O170" s="77"/>
      <c r="P170" s="106">
        <f>IFERROR(__xludf.DUMMYFUNCTION("IFERROR(SUMPRODUCT(FILTER('FY22 Budget Update'!$F$2:$AC$72,'FY22 Budget Update'!$C$2:$C$72=$F170),'FY22 Budget Update'!$F$1:$AC$1&lt;=$K$4),"""")"),6758.02)</f>
        <v>6758.02</v>
      </c>
      <c r="Q170" s="102">
        <f t="shared" ref="Q170:Q171" si="124">IFERROR($E170/P170,"")</f>
        <v>0.002957966978</v>
      </c>
      <c r="R170" s="77"/>
    </row>
    <row r="171">
      <c r="A171" s="189" t="s">
        <v>421</v>
      </c>
      <c r="B171" s="178">
        <f>17631.12+725</f>
        <v>18356.12</v>
      </c>
      <c r="C171" s="100"/>
      <c r="D171" s="100"/>
      <c r="E171" s="99">
        <f t="shared" si="105"/>
        <v>18356.12</v>
      </c>
      <c r="F171" s="101" t="str">
        <f t="shared" si="120"/>
        <v>2511-6319</v>
      </c>
      <c r="G171" s="99"/>
      <c r="H171" s="102" t="str">
        <f t="shared" si="121"/>
        <v/>
      </c>
      <c r="I171" s="77"/>
      <c r="J171" s="103">
        <f>IFERROR(__xludf.DUMMYFUNCTION("IFERROR(SUMPRODUCT(FILTER('FY22 Budget'!$F$2:$AC$71,'FY22 Budget'!$C$2:$C$71=$F171),'FY22 Budget'!$F$1:$AC$1&lt;=$K$4),"""")"),119950.00000000003)</f>
        <v>119950</v>
      </c>
      <c r="K171" s="104">
        <f t="shared" si="122"/>
        <v>0.1530314298</v>
      </c>
      <c r="L171" s="105"/>
      <c r="M171" s="103">
        <f>IFNA(VLOOKUP($F171,'FY22 Budget Update'!$C:$E,3,false),0)</f>
        <v>120750.04</v>
      </c>
      <c r="N171" s="104">
        <f t="shared" si="123"/>
        <v>0.1520175066</v>
      </c>
      <c r="O171" s="77"/>
      <c r="P171" s="106">
        <f>IFERROR(__xludf.DUMMYFUNCTION("IFERROR(SUMPRODUCT(FILTER('FY22 Budget Update'!$F$2:$AC$72,'FY22 Budget Update'!$C$2:$C$72=$F171),'FY22 Budget Update'!$F$1:$AC$1&lt;=$K$4),"""")"),108425.12000000002)</f>
        <v>108425.12</v>
      </c>
      <c r="Q171" s="102">
        <f t="shared" si="124"/>
        <v>0.1692976683</v>
      </c>
      <c r="R171" s="77"/>
    </row>
    <row r="172">
      <c r="A172" s="188" t="s">
        <v>422</v>
      </c>
      <c r="B172" s="133"/>
      <c r="C172" s="100"/>
      <c r="D172" s="100"/>
      <c r="E172" s="99">
        <f t="shared" si="105"/>
        <v>0</v>
      </c>
      <c r="F172" s="101"/>
      <c r="G172" s="99"/>
      <c r="H172" s="102" t="str">
        <f t="shared" si="121"/>
        <v/>
      </c>
      <c r="I172" s="77"/>
      <c r="J172" s="103"/>
      <c r="K172" s="104"/>
      <c r="L172" s="105"/>
      <c r="M172" s="103"/>
      <c r="N172" s="104"/>
      <c r="O172" s="77"/>
      <c r="P172" s="106"/>
      <c r="Q172" s="102"/>
      <c r="R172" s="77"/>
    </row>
    <row r="173">
      <c r="A173" s="189" t="s">
        <v>423</v>
      </c>
      <c r="B173" s="133"/>
      <c r="C173" s="100"/>
      <c r="D173" s="115"/>
      <c r="E173" s="99">
        <f t="shared" si="105"/>
        <v>0</v>
      </c>
      <c r="F173" s="101"/>
      <c r="G173" s="99"/>
      <c r="H173" s="102" t="str">
        <f t="shared" si="121"/>
        <v/>
      </c>
      <c r="I173" s="77"/>
      <c r="J173" s="103"/>
      <c r="K173" s="104"/>
      <c r="L173" s="105"/>
      <c r="M173" s="103"/>
      <c r="N173" s="104"/>
      <c r="O173" s="77"/>
      <c r="P173" s="106"/>
      <c r="Q173" s="102"/>
      <c r="R173" s="77"/>
    </row>
    <row r="174">
      <c r="A174" s="189" t="s">
        <v>424</v>
      </c>
      <c r="B174" s="133">
        <v>140.0</v>
      </c>
      <c r="C174" s="100"/>
      <c r="D174" s="100"/>
      <c r="E174" s="99">
        <f t="shared" si="105"/>
        <v>140</v>
      </c>
      <c r="F174" s="101"/>
      <c r="G174" s="99"/>
      <c r="H174" s="102"/>
      <c r="I174" s="77"/>
      <c r="J174" s="103"/>
      <c r="K174" s="104"/>
      <c r="L174" s="105"/>
      <c r="M174" s="103"/>
      <c r="N174" s="104"/>
      <c r="O174" s="77"/>
      <c r="P174" s="106"/>
      <c r="Q174" s="102"/>
      <c r="R174" s="77"/>
    </row>
    <row r="175">
      <c r="A175" s="189" t="s">
        <v>425</v>
      </c>
      <c r="B175" s="133">
        <v>2673.33</v>
      </c>
      <c r="C175" s="100"/>
      <c r="D175" s="100"/>
      <c r="E175" s="99">
        <f t="shared" si="105"/>
        <v>2673.33</v>
      </c>
      <c r="F175" s="101"/>
      <c r="G175" s="99"/>
      <c r="H175" s="102"/>
      <c r="I175" s="77"/>
      <c r="J175" s="103"/>
      <c r="K175" s="104"/>
      <c r="L175" s="105"/>
      <c r="M175" s="103"/>
      <c r="N175" s="104"/>
      <c r="O175" s="77"/>
      <c r="P175" s="106"/>
      <c r="Q175" s="102"/>
      <c r="R175" s="77"/>
    </row>
    <row r="176">
      <c r="A176" s="189" t="s">
        <v>426</v>
      </c>
      <c r="B176" s="133">
        <v>594.0</v>
      </c>
      <c r="C176" s="100"/>
      <c r="D176" s="100"/>
      <c r="E176" s="99">
        <f t="shared" si="105"/>
        <v>594</v>
      </c>
      <c r="F176" s="101"/>
      <c r="G176" s="99"/>
      <c r="H176" s="102"/>
      <c r="I176" s="77"/>
      <c r="J176" s="103"/>
      <c r="K176" s="104"/>
      <c r="L176" s="105"/>
      <c r="M176" s="103"/>
      <c r="N176" s="104"/>
      <c r="O176" s="77"/>
      <c r="P176" s="106"/>
      <c r="Q176" s="102"/>
      <c r="R176" s="77"/>
    </row>
    <row r="177">
      <c r="A177" s="190" t="s">
        <v>427</v>
      </c>
      <c r="B177" s="191">
        <v>7229.51</v>
      </c>
      <c r="C177" s="144"/>
      <c r="D177" s="144"/>
      <c r="E177" s="142">
        <f t="shared" si="105"/>
        <v>7229.51</v>
      </c>
      <c r="F177" s="143"/>
      <c r="G177" s="144"/>
      <c r="H177" s="145"/>
      <c r="I177" s="143"/>
      <c r="J177" s="168"/>
      <c r="K177" s="169"/>
      <c r="L177" s="148"/>
      <c r="M177" s="168"/>
      <c r="N177" s="169"/>
      <c r="O177" s="143"/>
      <c r="P177" s="144"/>
      <c r="Q177" s="145"/>
      <c r="R177" s="143"/>
    </row>
    <row r="178">
      <c r="A178" s="189" t="s">
        <v>428</v>
      </c>
      <c r="B178" s="133">
        <v>22.37</v>
      </c>
      <c r="C178" s="100"/>
      <c r="D178" s="100"/>
      <c r="E178" s="99">
        <f t="shared" si="105"/>
        <v>22.37</v>
      </c>
      <c r="F178" s="101"/>
      <c r="G178" s="99"/>
      <c r="H178" s="102"/>
      <c r="I178" s="77"/>
      <c r="J178" s="103"/>
      <c r="K178" s="104"/>
      <c r="L178" s="105"/>
      <c r="M178" s="103"/>
      <c r="N178" s="104"/>
      <c r="O178" s="77"/>
      <c r="P178" s="106"/>
      <c r="Q178" s="102"/>
      <c r="R178" s="77"/>
    </row>
    <row r="179">
      <c r="A179" s="189" t="s">
        <v>429</v>
      </c>
      <c r="B179" s="192">
        <v>10.0</v>
      </c>
      <c r="C179" s="100"/>
      <c r="D179" s="100"/>
      <c r="E179" s="99">
        <f t="shared" si="105"/>
        <v>10</v>
      </c>
      <c r="F179" s="101"/>
      <c r="G179" s="99"/>
      <c r="H179" s="102"/>
      <c r="I179" s="77"/>
      <c r="J179" s="103"/>
      <c r="K179" s="104"/>
      <c r="L179" s="105"/>
      <c r="M179" s="103"/>
      <c r="N179" s="104"/>
      <c r="O179" s="77"/>
      <c r="P179" s="106"/>
      <c r="Q179" s="102"/>
      <c r="R179" s="77"/>
    </row>
    <row r="180">
      <c r="A180" s="189" t="s">
        <v>430</v>
      </c>
      <c r="B180" s="192">
        <v>2506.21</v>
      </c>
      <c r="C180" s="100"/>
      <c r="D180" s="100"/>
      <c r="E180" s="99">
        <f t="shared" si="105"/>
        <v>2506.21</v>
      </c>
      <c r="F180" s="101"/>
      <c r="G180" s="99"/>
      <c r="H180" s="102"/>
      <c r="I180" s="77"/>
      <c r="J180" s="103"/>
      <c r="K180" s="104"/>
      <c r="L180" s="105"/>
      <c r="M180" s="103"/>
      <c r="N180" s="104"/>
      <c r="O180" s="77"/>
      <c r="P180" s="106"/>
      <c r="Q180" s="102"/>
      <c r="R180" s="77"/>
    </row>
    <row r="181">
      <c r="A181" s="189" t="s">
        <v>431</v>
      </c>
      <c r="B181" s="192">
        <v>4656.93</v>
      </c>
      <c r="C181" s="100"/>
      <c r="D181" s="100"/>
      <c r="E181" s="99">
        <f t="shared" si="105"/>
        <v>4656.93</v>
      </c>
      <c r="F181" s="101"/>
      <c r="G181" s="99"/>
      <c r="H181" s="102"/>
      <c r="I181" s="77"/>
      <c r="J181" s="103"/>
      <c r="K181" s="104"/>
      <c r="L181" s="105"/>
      <c r="M181" s="103"/>
      <c r="N181" s="104"/>
      <c r="O181" s="77"/>
      <c r="P181" s="106"/>
      <c r="Q181" s="102"/>
      <c r="R181" s="77"/>
    </row>
    <row r="182">
      <c r="A182" s="189" t="s">
        <v>432</v>
      </c>
      <c r="B182" s="133">
        <v>7981.25</v>
      </c>
      <c r="C182" s="100"/>
      <c r="D182" s="100"/>
      <c r="E182" s="99">
        <f t="shared" si="105"/>
        <v>7981.25</v>
      </c>
      <c r="F182" s="101"/>
      <c r="G182" s="99"/>
      <c r="H182" s="102"/>
      <c r="I182" s="77"/>
      <c r="J182" s="103"/>
      <c r="K182" s="104"/>
      <c r="L182" s="105"/>
      <c r="M182" s="103"/>
      <c r="N182" s="104"/>
      <c r="O182" s="77"/>
      <c r="P182" s="106"/>
      <c r="Q182" s="102"/>
      <c r="R182" s="77"/>
    </row>
    <row r="183">
      <c r="A183" s="189" t="s">
        <v>433</v>
      </c>
      <c r="B183" s="133"/>
      <c r="C183" s="100"/>
      <c r="D183" s="100"/>
      <c r="E183" s="99">
        <f t="shared" si="105"/>
        <v>0</v>
      </c>
      <c r="F183" s="101"/>
      <c r="G183" s="99"/>
      <c r="H183" s="102"/>
      <c r="I183" s="77"/>
      <c r="J183" s="103"/>
      <c r="K183" s="104"/>
      <c r="L183" s="105"/>
      <c r="M183" s="103"/>
      <c r="N183" s="104"/>
      <c r="O183" s="77"/>
      <c r="P183" s="106"/>
      <c r="Q183" s="102"/>
      <c r="R183" s="77"/>
    </row>
    <row r="184">
      <c r="A184" s="189" t="s">
        <v>434</v>
      </c>
      <c r="B184" s="133">
        <v>65.53</v>
      </c>
      <c r="C184" s="100"/>
      <c r="D184" s="100"/>
      <c r="E184" s="99">
        <f t="shared" si="105"/>
        <v>65.53</v>
      </c>
      <c r="F184" s="101"/>
      <c r="G184" s="99"/>
      <c r="H184" s="102"/>
      <c r="I184" s="77"/>
      <c r="J184" s="103"/>
      <c r="K184" s="104"/>
      <c r="L184" s="105"/>
      <c r="M184" s="103"/>
      <c r="N184" s="104"/>
      <c r="O184" s="77"/>
      <c r="P184" s="106"/>
      <c r="Q184" s="102"/>
      <c r="R184" s="77"/>
    </row>
    <row r="185">
      <c r="A185" s="188" t="s">
        <v>435</v>
      </c>
      <c r="B185" s="184">
        <f t="shared" ref="B185:E185" si="125">SUM(B148:B184)</f>
        <v>277111.7</v>
      </c>
      <c r="C185" s="184">
        <f t="shared" si="125"/>
        <v>0</v>
      </c>
      <c r="D185" s="184">
        <f t="shared" si="125"/>
        <v>0</v>
      </c>
      <c r="E185" s="184">
        <f t="shared" si="125"/>
        <v>277111.7</v>
      </c>
      <c r="F185" s="101" t="str">
        <f t="shared" ref="F185:F186" si="126">LEFT(TRIM(A185),9)</f>
        <v>Total 000</v>
      </c>
      <c r="G185" s="107">
        <v>632341.0</v>
      </c>
      <c r="H185" s="121">
        <f>IFERROR($E185/G185,"")</f>
        <v>0.4382314289</v>
      </c>
      <c r="I185" s="77"/>
      <c r="J185" s="110">
        <f>SUM(J148:J184)</f>
        <v>849905.45</v>
      </c>
      <c r="K185" s="111">
        <f>IFERROR($E185/J185,"")</f>
        <v>0.326050033</v>
      </c>
      <c r="L185" s="105"/>
      <c r="M185" s="110">
        <f>SUM(M148:M184)</f>
        <v>755163.62</v>
      </c>
      <c r="N185" s="111">
        <f>IFERROR($E185/M185,"")</f>
        <v>0.3669558393</v>
      </c>
      <c r="O185" s="77"/>
      <c r="P185" s="108">
        <f>SUM(P148:P184)</f>
        <v>762838.86</v>
      </c>
      <c r="Q185" s="112">
        <f>IFERROR($E185/P185,"")</f>
        <v>0.3632637435</v>
      </c>
      <c r="R185" s="77"/>
    </row>
    <row r="186">
      <c r="A186" s="193" t="s">
        <v>436</v>
      </c>
      <c r="B186" s="176"/>
      <c r="C186" s="100"/>
      <c r="D186" s="100"/>
      <c r="E186" s="106"/>
      <c r="F186" s="101" t="str">
        <f t="shared" si="126"/>
        <v>0000-6XXX</v>
      </c>
      <c r="G186" s="106"/>
      <c r="H186" s="102" t="str">
        <f>IFERROR(E186/G186,"")</f>
        <v/>
      </c>
      <c r="I186" s="77"/>
      <c r="J186" s="106"/>
      <c r="K186" s="102"/>
      <c r="L186" s="77"/>
      <c r="M186" s="106"/>
      <c r="N186" s="102" t="str">
        <f>IFERROR(K186/M186,"")</f>
        <v/>
      </c>
      <c r="O186" s="77"/>
      <c r="P186" s="106"/>
      <c r="Q186" s="102"/>
      <c r="R186" s="77"/>
    </row>
    <row r="187">
      <c r="A187" s="194" t="s">
        <v>437</v>
      </c>
      <c r="B187" s="133">
        <v>1813.44</v>
      </c>
      <c r="C187" s="100"/>
      <c r="D187" s="100"/>
      <c r="E187" s="99">
        <f t="shared" ref="E187:E190" si="127">SUM(B187:D187)</f>
        <v>1813.44</v>
      </c>
      <c r="F187" s="101"/>
      <c r="G187" s="99"/>
      <c r="H187" s="102"/>
      <c r="I187" s="77"/>
      <c r="J187" s="106"/>
      <c r="K187" s="102"/>
      <c r="L187" s="77"/>
      <c r="M187" s="106"/>
      <c r="N187" s="102"/>
      <c r="O187" s="77"/>
      <c r="P187" s="106"/>
      <c r="Q187" s="102"/>
      <c r="R187" s="77"/>
    </row>
    <row r="188">
      <c r="A188" s="194" t="s">
        <v>438</v>
      </c>
      <c r="B188" s="99">
        <v>-486.5</v>
      </c>
      <c r="C188" s="100"/>
      <c r="D188" s="100"/>
      <c r="E188" s="99">
        <f t="shared" si="127"/>
        <v>-486.5</v>
      </c>
      <c r="F188" s="101" t="str">
        <f t="shared" ref="F188:F194" si="128">LEFT(TRIM(A188),9)</f>
        <v>2551-6342</v>
      </c>
      <c r="G188" s="99"/>
      <c r="H188" s="102" t="str">
        <f t="shared" ref="H188:H190" si="129">IFERROR(E188/G188,"")</f>
        <v/>
      </c>
      <c r="I188" s="77"/>
      <c r="J188" s="106">
        <f>IFERROR(__xludf.DUMMYFUNCTION("IFERROR(SUMPRODUCT(FILTER('FY22 Budget'!$F$2:$AC$71,'FY22 Budget'!$C$2:$C$71=$F188),'FY22 Budget'!$F$1:$AC$1&lt;=$K$4),"""")"),5940.0)</f>
        <v>5940</v>
      </c>
      <c r="K188" s="102">
        <f t="shared" ref="K188:K191" si="130">IFERROR($E188/J188,"")</f>
        <v>-0.0819023569</v>
      </c>
      <c r="L188" s="77"/>
      <c r="M188" s="106">
        <f>IFNA(VLOOKUP($F188,'FY22 Budget Update'!$C:$E,3,false),0)</f>
        <v>5940</v>
      </c>
      <c r="N188" s="102">
        <f t="shared" ref="N188:N189" si="131">IFERROR($E188/M188,"")</f>
        <v>-0.0819023569</v>
      </c>
      <c r="O188" s="77"/>
      <c r="P188" s="106">
        <f>IFERROR(__xludf.DUMMYFUNCTION("IFERROR(SUMPRODUCT(FILTER('FY22 Budget Update'!$F$2:$AC$72,'FY22 Budget Update'!$C$2:$C$72=$F188),'FY22 Budget Update'!$F$1:$AC$1&lt;=$K$4),"""")"),5940.0)</f>
        <v>5940</v>
      </c>
      <c r="Q188" s="102">
        <f t="shared" ref="Q188:Q191" si="132">IFERROR($E188/P188,"")</f>
        <v>-0.0819023569</v>
      </c>
      <c r="R188" s="77"/>
    </row>
    <row r="189">
      <c r="A189" s="194" t="s">
        <v>439</v>
      </c>
      <c r="B189" s="133">
        <v>19569.0</v>
      </c>
      <c r="C189" s="100"/>
      <c r="D189" s="100"/>
      <c r="E189" s="99">
        <f t="shared" si="127"/>
        <v>19569</v>
      </c>
      <c r="F189" s="101" t="str">
        <f t="shared" si="128"/>
        <v>2553-6341</v>
      </c>
      <c r="G189" s="99"/>
      <c r="H189" s="102" t="str">
        <f t="shared" si="129"/>
        <v/>
      </c>
      <c r="I189" s="77"/>
      <c r="J189" s="106" t="str">
        <f>IFERROR(__xludf.DUMMYFUNCTION("IFERROR(SUMPRODUCT(FILTER('FY22 Budget'!$F$2:$AC$71,'FY22 Budget'!$C$2:$C$71=$F189),'FY22 Budget'!$F$1:$AC$1&lt;=$K$4),"""")"),"")</f>
        <v/>
      </c>
      <c r="K189" s="102" t="str">
        <f t="shared" si="130"/>
        <v/>
      </c>
      <c r="L189" s="77"/>
      <c r="M189" s="106">
        <f>IFNA(VLOOKUP($F189,'FY22 Budget Update'!$C:$E,3,false),0)</f>
        <v>0</v>
      </c>
      <c r="N189" s="102" t="str">
        <f t="shared" si="131"/>
        <v/>
      </c>
      <c r="O189" s="77"/>
      <c r="P189" s="106" t="str">
        <f>IFERROR(__xludf.DUMMYFUNCTION("IFERROR(SUMPRODUCT(FILTER('FY22 Budget Update'!$F$2:$AC$72,'FY22 Budget Update'!$C$2:$C$72=$F189),'FY22 Budget Update'!$F$1:$AC$1&lt;=$K$4),"""")"),"")</f>
        <v/>
      </c>
      <c r="Q189" s="102" t="str">
        <f t="shared" si="132"/>
        <v/>
      </c>
      <c r="R189" s="77"/>
    </row>
    <row r="190">
      <c r="A190" s="194" t="s">
        <v>440</v>
      </c>
      <c r="B190" s="133">
        <v>3236.0</v>
      </c>
      <c r="C190" s="100"/>
      <c r="D190" s="100"/>
      <c r="E190" s="99">
        <f t="shared" si="127"/>
        <v>3236</v>
      </c>
      <c r="F190" s="101" t="str">
        <f t="shared" si="128"/>
        <v>3611-6341</v>
      </c>
      <c r="G190" s="99"/>
      <c r="H190" s="102" t="str">
        <f t="shared" si="129"/>
        <v/>
      </c>
      <c r="I190" s="77"/>
      <c r="J190" s="106" t="str">
        <f>IFERROR(__xludf.DUMMYFUNCTION("IFERROR(SUMPRODUCT(FILTER('FY22 Budget'!$F$2:$AC$71,'FY22 Budget'!$C$2:$C$71=$F190),'FY22 Budget'!$F$1:$AC$1&lt;=$K$4),"""")"),"")</f>
        <v/>
      </c>
      <c r="K190" s="102" t="str">
        <f t="shared" si="130"/>
        <v/>
      </c>
      <c r="L190" s="77"/>
      <c r="M190" s="106">
        <f>IFNA(VLOOKUP($F190,'FY22 Budget Update'!$C:$E,3,false),0)</f>
        <v>0</v>
      </c>
      <c r="N190" s="102" t="str">
        <f>IFERROR(K190/M190,"")</f>
        <v/>
      </c>
      <c r="O190" s="77"/>
      <c r="P190" s="106" t="str">
        <f>IFERROR(__xludf.DUMMYFUNCTION("IFERROR(SUMPRODUCT(FILTER('FY22 Budget Update'!$F$2:$AC$72,'FY22 Budget Update'!$C$2:$C$72=$F190),'FY22 Budget Update'!$F$1:$AC$1&lt;=$K$4),"""")"),"")</f>
        <v/>
      </c>
      <c r="Q190" s="102" t="str">
        <f t="shared" si="132"/>
        <v/>
      </c>
      <c r="R190" s="77"/>
    </row>
    <row r="191">
      <c r="A191" s="193" t="s">
        <v>441</v>
      </c>
      <c r="B191" s="108">
        <f t="shared" ref="B191:E191" si="133">SUM(B187:B190)</f>
        <v>24131.94</v>
      </c>
      <c r="C191" s="108">
        <f t="shared" si="133"/>
        <v>0</v>
      </c>
      <c r="D191" s="108">
        <f t="shared" si="133"/>
        <v>0</v>
      </c>
      <c r="E191" s="108">
        <f t="shared" si="133"/>
        <v>24131.94</v>
      </c>
      <c r="F191" s="101" t="str">
        <f t="shared" si="128"/>
        <v>Total 000</v>
      </c>
      <c r="G191" s="107">
        <v>41026.0</v>
      </c>
      <c r="H191" s="121">
        <f>IFERROR($E191/G191,"")</f>
        <v>0.5882108907</v>
      </c>
      <c r="I191" s="77"/>
      <c r="J191" s="108">
        <f>SUM(J187:J190)</f>
        <v>5940</v>
      </c>
      <c r="K191" s="112">
        <f t="shared" si="130"/>
        <v>4.062616162</v>
      </c>
      <c r="L191" s="77"/>
      <c r="M191" s="110">
        <f>SUM(M187:M190)</f>
        <v>5940</v>
      </c>
      <c r="N191" s="111">
        <f>IFERROR($E191/M191,"")</f>
        <v>4.062616162</v>
      </c>
      <c r="O191" s="77"/>
      <c r="P191" s="108">
        <f>SUM(P187:P190)</f>
        <v>5940</v>
      </c>
      <c r="Q191" s="112">
        <f t="shared" si="132"/>
        <v>4.062616162</v>
      </c>
      <c r="R191" s="77"/>
    </row>
    <row r="192">
      <c r="A192" s="123" t="s">
        <v>442</v>
      </c>
      <c r="B192" s="99"/>
      <c r="C192" s="100"/>
      <c r="D192" s="100"/>
      <c r="E192" s="106">
        <f>((B192)+(C192))+(D192)</f>
        <v>0</v>
      </c>
      <c r="F192" s="101" t="str">
        <f t="shared" si="128"/>
        <v>PayPal Fe</v>
      </c>
      <c r="G192" s="106"/>
      <c r="H192" s="102" t="str">
        <f>IFERROR(E192/G192,"")</f>
        <v/>
      </c>
      <c r="I192" s="77"/>
      <c r="J192" s="106"/>
      <c r="K192" s="102"/>
      <c r="L192" s="77"/>
      <c r="M192" s="103"/>
      <c r="N192" s="104" t="str">
        <f>IFERROR(K192/M192,"")</f>
        <v/>
      </c>
      <c r="O192" s="77"/>
      <c r="P192" s="106"/>
      <c r="Q192" s="102"/>
      <c r="R192" s="114"/>
    </row>
    <row r="193">
      <c r="A193" s="123" t="s">
        <v>246</v>
      </c>
      <c r="B193" s="108">
        <f t="shared" ref="B193:E193" si="134">((((((((((B71)+(B77)))+(B87))+(B90))+(B102))+(B134))+(B146))+(B185))+(B191))+(B192)+B43</f>
        <v>1383436.81</v>
      </c>
      <c r="C193" s="108">
        <f t="shared" si="134"/>
        <v>532760.19</v>
      </c>
      <c r="D193" s="108">
        <f t="shared" si="134"/>
        <v>202391.43</v>
      </c>
      <c r="E193" s="108">
        <f t="shared" si="134"/>
        <v>2118588.43</v>
      </c>
      <c r="F193" s="101" t="str">
        <f t="shared" si="128"/>
        <v>Total Exp</v>
      </c>
      <c r="G193" s="108">
        <f>((((((((((G71)+(G77))+(G43))+(G87))+(G90))+(G102))+(G134))+(G146))+(G185))+(G191))+(G192)</f>
        <v>10571219</v>
      </c>
      <c r="H193" s="121">
        <f t="shared" ref="H193:H194" si="136">IFERROR($E193/G193,"")</f>
        <v>0.2004109867</v>
      </c>
      <c r="I193" s="77"/>
      <c r="J193" s="108">
        <f>SUM(J45:J59,J73:J76,J79:J83,J89,J92:J101,J104:J133,J137:J145,J148:J184,J187:J190)</f>
        <v>3300993.29</v>
      </c>
      <c r="K193" s="112">
        <f t="shared" ref="K193:K194" si="137">IFERROR($E193/J193,"")</f>
        <v>0.6418033131</v>
      </c>
      <c r="L193" s="77"/>
      <c r="M193" s="110">
        <f>SUM(M45:M59,M73:M76,M79:M83,M89,M92:M101,M104:M133,M137:M145,M148:M184,M187:M190)</f>
        <v>3068174.65</v>
      </c>
      <c r="N193" s="111">
        <f t="shared" ref="N193:N194" si="138">IFERROR($E193/M193,"")</f>
        <v>0.6905045089</v>
      </c>
      <c r="O193" s="77"/>
      <c r="P193" s="108">
        <f>SUM(P45:P59,P73:P76,P79:P83,P89,P92:P101,P104:P133,P137:P145,P148:P184,P187:P190)</f>
        <v>3075854.83</v>
      </c>
      <c r="Q193" s="112">
        <f t="shared" ref="Q193:Q194" si="139">IFERROR($E193/P193,"")</f>
        <v>0.6887803707</v>
      </c>
      <c r="R193" s="122"/>
    </row>
    <row r="194">
      <c r="A194" s="195" t="s">
        <v>248</v>
      </c>
      <c r="B194" s="108">
        <f t="shared" ref="B194:E194" si="135">B40-B193</f>
        <v>-897054.41</v>
      </c>
      <c r="C194" s="108">
        <f t="shared" si="135"/>
        <v>0</v>
      </c>
      <c r="D194" s="108">
        <f t="shared" si="135"/>
        <v>-202391.43</v>
      </c>
      <c r="E194" s="108">
        <f t="shared" si="135"/>
        <v>-1099445.84</v>
      </c>
      <c r="F194" s="101" t="str">
        <f t="shared" si="128"/>
        <v>Net Reven</v>
      </c>
      <c r="G194" s="108">
        <f>G40-G193</f>
        <v>249074</v>
      </c>
      <c r="H194" s="112">
        <f t="shared" si="136"/>
        <v>-4.41413331</v>
      </c>
      <c r="I194" s="77"/>
      <c r="J194" s="108">
        <f>J40-J193</f>
        <v>2779740.6</v>
      </c>
      <c r="K194" s="112">
        <f t="shared" si="137"/>
        <v>-0.3955210209</v>
      </c>
      <c r="L194" s="77"/>
      <c r="M194" s="110">
        <f>M40-M193</f>
        <v>4711936.76</v>
      </c>
      <c r="N194" s="111">
        <f t="shared" si="138"/>
        <v>-0.233332045</v>
      </c>
      <c r="O194" s="77"/>
      <c r="P194" s="108">
        <f>P40-P193</f>
        <v>7372630.6</v>
      </c>
      <c r="Q194" s="112">
        <f t="shared" si="139"/>
        <v>-0.1491253122</v>
      </c>
      <c r="R194" s="77"/>
    </row>
    <row r="195">
      <c r="A195" s="123"/>
      <c r="B195" s="115"/>
      <c r="C195" s="100"/>
      <c r="D195" s="100"/>
      <c r="E195" s="115"/>
      <c r="F195" s="101"/>
      <c r="G195" s="124"/>
      <c r="H195" s="124"/>
      <c r="I195" s="77"/>
      <c r="J195" s="100"/>
      <c r="K195" s="124"/>
      <c r="L195" s="77"/>
      <c r="M195" s="100"/>
      <c r="N195" s="124"/>
      <c r="O195" s="77"/>
      <c r="P195" s="100"/>
      <c r="Q195" s="124"/>
      <c r="R195" s="77"/>
    </row>
    <row r="196">
      <c r="A196" s="77"/>
      <c r="B196" s="77"/>
      <c r="C196" s="77"/>
      <c r="D196" s="77"/>
      <c r="E196" s="77"/>
      <c r="F196" s="101"/>
      <c r="G196" s="77"/>
      <c r="H196" s="79"/>
      <c r="I196" s="77"/>
      <c r="J196" s="77"/>
      <c r="K196" s="79"/>
      <c r="L196" s="77"/>
      <c r="M196" s="77"/>
      <c r="N196" s="79"/>
      <c r="O196" s="77"/>
      <c r="P196" s="77"/>
      <c r="Q196" s="79"/>
      <c r="R196" s="77"/>
    </row>
    <row r="197">
      <c r="A197" s="77"/>
      <c r="B197" s="77"/>
      <c r="C197" s="77"/>
      <c r="D197" s="77"/>
      <c r="E197" s="77"/>
      <c r="F197" s="101"/>
      <c r="G197" s="77"/>
      <c r="H197" s="79"/>
      <c r="I197" s="77"/>
      <c r="J197" s="77"/>
      <c r="K197" s="79"/>
      <c r="L197" s="77"/>
      <c r="M197" s="77"/>
      <c r="N197" s="79"/>
      <c r="O197" s="77"/>
      <c r="P197" s="77"/>
      <c r="Q197" s="79"/>
      <c r="R197" s="77"/>
    </row>
    <row r="198">
      <c r="A198" s="77"/>
      <c r="B198" s="77"/>
      <c r="C198" s="77"/>
      <c r="D198" s="77"/>
      <c r="E198" s="77"/>
      <c r="F198" s="101"/>
      <c r="G198" s="77"/>
      <c r="H198" s="79"/>
      <c r="I198" s="77"/>
      <c r="J198" s="77"/>
      <c r="K198" s="79"/>
      <c r="L198" s="77"/>
      <c r="M198" s="77"/>
      <c r="N198" s="79"/>
      <c r="O198" s="77"/>
      <c r="P198" s="77"/>
      <c r="Q198" s="79"/>
      <c r="R198" s="77"/>
    </row>
    <row r="199">
      <c r="A199" s="77"/>
      <c r="B199" s="77"/>
      <c r="C199" s="77"/>
      <c r="D199" s="77"/>
      <c r="E199" s="77"/>
      <c r="F199" s="101"/>
      <c r="G199" s="77"/>
      <c r="H199" s="79"/>
      <c r="I199" s="77"/>
      <c r="J199" s="77"/>
      <c r="K199" s="79"/>
      <c r="L199" s="77"/>
      <c r="M199" s="77"/>
      <c r="N199" s="79"/>
      <c r="O199" s="77"/>
      <c r="P199" s="77"/>
      <c r="Q199" s="79"/>
      <c r="R199" s="77"/>
    </row>
    <row r="200">
      <c r="A200" s="77"/>
      <c r="B200" s="77"/>
      <c r="C200" s="77"/>
      <c r="D200" s="77"/>
      <c r="E200" s="77"/>
      <c r="F200" s="101"/>
      <c r="G200" s="77"/>
      <c r="H200" s="79"/>
      <c r="I200" s="77"/>
      <c r="J200" s="77"/>
      <c r="K200" s="79"/>
      <c r="L200" s="77"/>
      <c r="M200" s="77"/>
      <c r="N200" s="79"/>
      <c r="O200" s="77"/>
      <c r="P200" s="77"/>
      <c r="Q200" s="79"/>
      <c r="R200" s="77"/>
    </row>
    <row r="201">
      <c r="A201" s="77"/>
      <c r="B201" s="77"/>
      <c r="C201" s="77"/>
      <c r="D201" s="77"/>
      <c r="E201" s="77"/>
      <c r="F201" s="101"/>
      <c r="G201" s="77"/>
      <c r="H201" s="79"/>
      <c r="I201" s="77"/>
      <c r="J201" s="77"/>
      <c r="K201" s="79"/>
      <c r="L201" s="77"/>
      <c r="M201" s="77"/>
      <c r="N201" s="79"/>
      <c r="O201" s="77"/>
      <c r="P201" s="77"/>
      <c r="Q201" s="79"/>
      <c r="R201" s="77"/>
    </row>
    <row r="202">
      <c r="A202" s="77"/>
      <c r="B202" s="77"/>
      <c r="C202" s="77"/>
      <c r="D202" s="77"/>
      <c r="E202" s="77"/>
      <c r="F202" s="101"/>
      <c r="G202" s="77"/>
      <c r="H202" s="79"/>
      <c r="I202" s="77"/>
      <c r="J202" s="77"/>
      <c r="K202" s="79"/>
      <c r="L202" s="77"/>
      <c r="M202" s="77"/>
      <c r="N202" s="79"/>
      <c r="O202" s="77"/>
      <c r="P202" s="77"/>
      <c r="Q202" s="79"/>
      <c r="R202" s="77"/>
    </row>
    <row r="203">
      <c r="A203" s="77"/>
      <c r="B203" s="77"/>
      <c r="C203" s="77"/>
      <c r="D203" s="77"/>
      <c r="E203" s="77"/>
      <c r="F203" s="101"/>
      <c r="G203" s="77"/>
      <c r="H203" s="79"/>
      <c r="I203" s="77"/>
      <c r="J203" s="77"/>
      <c r="K203" s="79"/>
      <c r="L203" s="77"/>
      <c r="M203" s="77"/>
      <c r="N203" s="79"/>
      <c r="O203" s="77"/>
      <c r="P203" s="77"/>
      <c r="Q203" s="79"/>
      <c r="R203" s="77"/>
    </row>
    <row r="204">
      <c r="A204" s="77"/>
      <c r="B204" s="77"/>
      <c r="C204" s="77"/>
      <c r="D204" s="77"/>
      <c r="E204" s="77"/>
      <c r="F204" s="101"/>
      <c r="G204" s="77"/>
      <c r="H204" s="79"/>
      <c r="I204" s="77"/>
      <c r="J204" s="77"/>
      <c r="K204" s="79"/>
      <c r="L204" s="77"/>
      <c r="M204" s="77"/>
      <c r="N204" s="79"/>
      <c r="O204" s="77"/>
      <c r="P204" s="77"/>
      <c r="Q204" s="79"/>
      <c r="R204" s="77"/>
    </row>
    <row r="205">
      <c r="A205" s="77"/>
      <c r="B205" s="77"/>
      <c r="C205" s="77"/>
      <c r="D205" s="77"/>
      <c r="E205" s="77"/>
      <c r="F205" s="101"/>
      <c r="G205" s="77"/>
      <c r="H205" s="79"/>
      <c r="I205" s="77"/>
      <c r="J205" s="77"/>
      <c r="K205" s="79"/>
      <c r="L205" s="77"/>
      <c r="M205" s="77"/>
      <c r="N205" s="79"/>
      <c r="O205" s="77"/>
      <c r="P205" s="77"/>
      <c r="Q205" s="79"/>
      <c r="R205" s="77"/>
    </row>
    <row r="206">
      <c r="A206" s="77"/>
      <c r="B206" s="77"/>
      <c r="C206" s="77"/>
      <c r="D206" s="77"/>
      <c r="E206" s="77"/>
      <c r="F206" s="101"/>
      <c r="G206" s="77"/>
      <c r="H206" s="79"/>
      <c r="I206" s="77"/>
      <c r="J206" s="77"/>
      <c r="K206" s="79"/>
      <c r="L206" s="77"/>
      <c r="M206" s="77"/>
      <c r="N206" s="79"/>
      <c r="O206" s="77"/>
      <c r="P206" s="77"/>
      <c r="Q206" s="79"/>
      <c r="R206" s="77"/>
    </row>
    <row r="207">
      <c r="A207" s="77"/>
      <c r="B207" s="77"/>
      <c r="C207" s="77"/>
      <c r="D207" s="77"/>
      <c r="E207" s="77"/>
      <c r="F207" s="101"/>
      <c r="G207" s="77"/>
      <c r="H207" s="79"/>
      <c r="I207" s="77"/>
      <c r="J207" s="77"/>
      <c r="K207" s="79"/>
      <c r="L207" s="77"/>
      <c r="M207" s="77"/>
      <c r="N207" s="79"/>
      <c r="O207" s="77"/>
      <c r="P207" s="77"/>
      <c r="Q207" s="79"/>
      <c r="R207" s="77"/>
    </row>
    <row r="208">
      <c r="A208" s="77"/>
      <c r="B208" s="77"/>
      <c r="C208" s="77"/>
      <c r="D208" s="77"/>
      <c r="E208" s="77"/>
      <c r="F208" s="101"/>
      <c r="G208" s="77"/>
      <c r="H208" s="79"/>
      <c r="I208" s="77"/>
      <c r="J208" s="77"/>
      <c r="K208" s="79"/>
      <c r="L208" s="77"/>
      <c r="M208" s="77"/>
      <c r="N208" s="79"/>
      <c r="O208" s="77"/>
      <c r="P208" s="77"/>
      <c r="Q208" s="79"/>
      <c r="R208" s="77"/>
    </row>
    <row r="209">
      <c r="A209" s="77"/>
      <c r="B209" s="77"/>
      <c r="C209" s="77"/>
      <c r="D209" s="77"/>
      <c r="E209" s="77"/>
      <c r="F209" s="101"/>
      <c r="G209" s="77"/>
      <c r="H209" s="79"/>
      <c r="I209" s="77"/>
      <c r="J209" s="77"/>
      <c r="K209" s="79"/>
      <c r="L209" s="77"/>
      <c r="M209" s="77"/>
      <c r="N209" s="79"/>
      <c r="O209" s="77"/>
      <c r="P209" s="77"/>
      <c r="Q209" s="79"/>
      <c r="R209" s="77"/>
    </row>
    <row r="210">
      <c r="A210" s="77"/>
      <c r="B210" s="77"/>
      <c r="C210" s="77"/>
      <c r="D210" s="77"/>
      <c r="E210" s="77"/>
      <c r="F210" s="101"/>
      <c r="G210" s="77"/>
      <c r="H210" s="79"/>
      <c r="I210" s="77"/>
      <c r="J210" s="77"/>
      <c r="K210" s="79"/>
      <c r="L210" s="77"/>
      <c r="M210" s="77"/>
      <c r="N210" s="79"/>
      <c r="O210" s="77"/>
      <c r="P210" s="77"/>
      <c r="Q210" s="79"/>
      <c r="R210" s="77"/>
    </row>
    <row r="211">
      <c r="A211" s="77"/>
      <c r="B211" s="77"/>
      <c r="C211" s="77"/>
      <c r="D211" s="77"/>
      <c r="E211" s="77"/>
      <c r="F211" s="101"/>
      <c r="G211" s="77"/>
      <c r="H211" s="79"/>
      <c r="I211" s="77"/>
      <c r="J211" s="77"/>
      <c r="K211" s="79"/>
      <c r="L211" s="77"/>
      <c r="M211" s="77"/>
      <c r="N211" s="79"/>
      <c r="O211" s="77"/>
      <c r="P211" s="77"/>
      <c r="Q211" s="79"/>
      <c r="R211" s="77"/>
    </row>
    <row r="212">
      <c r="A212" s="77"/>
      <c r="B212" s="77"/>
      <c r="C212" s="77"/>
      <c r="D212" s="77"/>
      <c r="E212" s="77"/>
      <c r="F212" s="101"/>
      <c r="G212" s="77"/>
      <c r="H212" s="79"/>
      <c r="I212" s="77"/>
      <c r="J212" s="77"/>
      <c r="K212" s="79"/>
      <c r="L212" s="77"/>
      <c r="M212" s="77"/>
      <c r="N212" s="79"/>
      <c r="O212" s="77"/>
      <c r="P212" s="77"/>
      <c r="Q212" s="79"/>
      <c r="R212" s="77"/>
    </row>
    <row r="213">
      <c r="A213" s="77"/>
      <c r="B213" s="77"/>
      <c r="C213" s="77"/>
      <c r="D213" s="77"/>
      <c r="E213" s="77"/>
      <c r="F213" s="101"/>
      <c r="G213" s="77"/>
      <c r="H213" s="79"/>
      <c r="I213" s="77"/>
      <c r="J213" s="77"/>
      <c r="K213" s="79"/>
      <c r="L213" s="77"/>
      <c r="M213" s="77"/>
      <c r="N213" s="79"/>
      <c r="O213" s="77"/>
      <c r="P213" s="77"/>
      <c r="Q213" s="79"/>
      <c r="R213" s="77"/>
    </row>
    <row r="214">
      <c r="A214" s="77"/>
      <c r="B214" s="77"/>
      <c r="C214" s="77"/>
      <c r="D214" s="77"/>
      <c r="E214" s="77"/>
      <c r="F214" s="101"/>
      <c r="G214" s="77"/>
      <c r="H214" s="79"/>
      <c r="I214" s="77"/>
      <c r="J214" s="77"/>
      <c r="K214" s="79"/>
      <c r="L214" s="77"/>
      <c r="M214" s="77"/>
      <c r="N214" s="79"/>
      <c r="O214" s="77"/>
      <c r="P214" s="77"/>
      <c r="Q214" s="79"/>
      <c r="R214" s="77"/>
    </row>
    <row r="215">
      <c r="A215" s="77"/>
      <c r="B215" s="77"/>
      <c r="C215" s="77"/>
      <c r="D215" s="77"/>
      <c r="E215" s="77"/>
      <c r="F215" s="101"/>
      <c r="G215" s="77"/>
      <c r="H215" s="79"/>
      <c r="I215" s="77"/>
      <c r="J215" s="77"/>
      <c r="K215" s="79"/>
      <c r="L215" s="77"/>
      <c r="M215" s="77"/>
      <c r="N215" s="79"/>
      <c r="O215" s="77"/>
      <c r="P215" s="77"/>
      <c r="Q215" s="79"/>
      <c r="R215" s="77"/>
    </row>
    <row r="216">
      <c r="A216" s="77"/>
      <c r="B216" s="77"/>
      <c r="C216" s="77"/>
      <c r="D216" s="77"/>
      <c r="E216" s="77"/>
      <c r="F216" s="101"/>
      <c r="G216" s="77"/>
      <c r="H216" s="79"/>
      <c r="I216" s="77"/>
      <c r="J216" s="77"/>
      <c r="K216" s="79"/>
      <c r="L216" s="77"/>
      <c r="M216" s="77"/>
      <c r="N216" s="79"/>
      <c r="O216" s="77"/>
      <c r="P216" s="77"/>
      <c r="Q216" s="79"/>
      <c r="R216" s="77"/>
    </row>
    <row r="217">
      <c r="A217" s="77"/>
      <c r="B217" s="77"/>
      <c r="C217" s="77"/>
      <c r="D217" s="77"/>
      <c r="E217" s="77"/>
      <c r="F217" s="101"/>
      <c r="G217" s="77"/>
      <c r="H217" s="79"/>
      <c r="I217" s="77"/>
      <c r="J217" s="77"/>
      <c r="K217" s="79"/>
      <c r="L217" s="77"/>
      <c r="M217" s="77"/>
      <c r="N217" s="79"/>
      <c r="O217" s="77"/>
      <c r="P217" s="77"/>
      <c r="Q217" s="79"/>
      <c r="R217" s="77"/>
    </row>
    <row r="218">
      <c r="A218" s="77"/>
      <c r="B218" s="77"/>
      <c r="C218" s="77"/>
      <c r="D218" s="77"/>
      <c r="E218" s="77"/>
      <c r="F218" s="101"/>
      <c r="G218" s="77"/>
      <c r="H218" s="79"/>
      <c r="I218" s="77"/>
      <c r="J218" s="77"/>
      <c r="K218" s="79"/>
      <c r="L218" s="77"/>
      <c r="M218" s="77"/>
      <c r="N218" s="79"/>
      <c r="O218" s="77"/>
      <c r="P218" s="77"/>
      <c r="Q218" s="79"/>
      <c r="R218" s="77"/>
    </row>
    <row r="219">
      <c r="A219" s="77"/>
      <c r="B219" s="77"/>
      <c r="C219" s="77"/>
      <c r="D219" s="77"/>
      <c r="E219" s="77"/>
      <c r="F219" s="101"/>
      <c r="G219" s="77"/>
      <c r="H219" s="79"/>
      <c r="I219" s="77"/>
      <c r="J219" s="77"/>
      <c r="K219" s="79"/>
      <c r="L219" s="77"/>
      <c r="M219" s="77"/>
      <c r="N219" s="79"/>
      <c r="O219" s="77"/>
      <c r="P219" s="77"/>
      <c r="Q219" s="79"/>
      <c r="R219" s="77"/>
    </row>
    <row r="220">
      <c r="A220" s="77"/>
      <c r="B220" s="77"/>
      <c r="C220" s="77"/>
      <c r="D220" s="77"/>
      <c r="E220" s="77"/>
      <c r="F220" s="101"/>
      <c r="G220" s="77"/>
      <c r="H220" s="79"/>
      <c r="I220" s="77"/>
      <c r="J220" s="77"/>
      <c r="K220" s="79"/>
      <c r="L220" s="77"/>
      <c r="M220" s="77"/>
      <c r="N220" s="79"/>
      <c r="O220" s="77"/>
      <c r="P220" s="77"/>
      <c r="Q220" s="79"/>
      <c r="R220" s="77"/>
    </row>
    <row r="221">
      <c r="A221" s="77"/>
      <c r="B221" s="77"/>
      <c r="C221" s="77"/>
      <c r="D221" s="77"/>
      <c r="E221" s="77"/>
      <c r="F221" s="101"/>
      <c r="G221" s="77"/>
      <c r="H221" s="79"/>
      <c r="I221" s="77"/>
      <c r="J221" s="77"/>
      <c r="K221" s="79"/>
      <c r="L221" s="77"/>
      <c r="M221" s="77"/>
      <c r="N221" s="79"/>
      <c r="O221" s="77"/>
      <c r="P221" s="77"/>
      <c r="Q221" s="79"/>
      <c r="R221" s="77"/>
    </row>
    <row r="222">
      <c r="A222" s="77"/>
      <c r="B222" s="77"/>
      <c r="C222" s="77"/>
      <c r="D222" s="77"/>
      <c r="E222" s="77"/>
      <c r="F222" s="101"/>
      <c r="G222" s="77"/>
      <c r="H222" s="79"/>
      <c r="I222" s="77"/>
      <c r="J222" s="77"/>
      <c r="K222" s="79"/>
      <c r="L222" s="77"/>
      <c r="M222" s="77"/>
      <c r="N222" s="79"/>
      <c r="O222" s="77"/>
      <c r="P222" s="77"/>
      <c r="Q222" s="79"/>
      <c r="R222" s="77"/>
    </row>
    <row r="223">
      <c r="A223" s="77"/>
      <c r="B223" s="77"/>
      <c r="C223" s="77"/>
      <c r="D223" s="77"/>
      <c r="E223" s="77"/>
      <c r="F223" s="101"/>
      <c r="G223" s="77"/>
      <c r="H223" s="79"/>
      <c r="I223" s="77"/>
      <c r="J223" s="77"/>
      <c r="K223" s="79"/>
      <c r="L223" s="77"/>
      <c r="M223" s="77"/>
      <c r="N223" s="79"/>
      <c r="O223" s="77"/>
      <c r="P223" s="77"/>
      <c r="Q223" s="79"/>
      <c r="R223" s="77"/>
    </row>
    <row r="224">
      <c r="A224" s="77"/>
      <c r="B224" s="77"/>
      <c r="C224" s="77"/>
      <c r="D224" s="77"/>
      <c r="E224" s="77"/>
      <c r="F224" s="101"/>
      <c r="G224" s="77"/>
      <c r="H224" s="79"/>
      <c r="I224" s="77"/>
      <c r="J224" s="77"/>
      <c r="K224" s="79"/>
      <c r="L224" s="77"/>
      <c r="M224" s="77"/>
      <c r="N224" s="79"/>
      <c r="O224" s="77"/>
      <c r="P224" s="77"/>
      <c r="Q224" s="79"/>
      <c r="R224" s="77"/>
    </row>
    <row r="225">
      <c r="A225" s="77"/>
      <c r="B225" s="77"/>
      <c r="C225" s="77"/>
      <c r="D225" s="77"/>
      <c r="E225" s="77"/>
      <c r="F225" s="101"/>
      <c r="G225" s="77"/>
      <c r="H225" s="79"/>
      <c r="I225" s="77"/>
      <c r="J225" s="77"/>
      <c r="K225" s="79"/>
      <c r="L225" s="77"/>
      <c r="M225" s="77"/>
      <c r="N225" s="79"/>
      <c r="O225" s="77"/>
      <c r="P225" s="77"/>
      <c r="Q225" s="79"/>
      <c r="R225" s="77"/>
    </row>
    <row r="226">
      <c r="A226" s="77"/>
      <c r="B226" s="77"/>
      <c r="C226" s="77"/>
      <c r="D226" s="77"/>
      <c r="E226" s="77"/>
      <c r="F226" s="101"/>
      <c r="G226" s="77"/>
      <c r="H226" s="79"/>
      <c r="I226" s="77"/>
      <c r="J226" s="77"/>
      <c r="K226" s="79"/>
      <c r="L226" s="77"/>
      <c r="M226" s="77"/>
      <c r="N226" s="79"/>
      <c r="O226" s="77"/>
      <c r="P226" s="77"/>
      <c r="Q226" s="79"/>
      <c r="R226" s="77"/>
    </row>
    <row r="227">
      <c r="A227" s="77"/>
      <c r="B227" s="77"/>
      <c r="C227" s="77"/>
      <c r="D227" s="77"/>
      <c r="E227" s="77"/>
      <c r="F227" s="101"/>
      <c r="G227" s="77"/>
      <c r="H227" s="79"/>
      <c r="I227" s="77"/>
      <c r="J227" s="77"/>
      <c r="K227" s="79"/>
      <c r="L227" s="77"/>
      <c r="M227" s="77"/>
      <c r="N227" s="79"/>
      <c r="O227" s="77"/>
      <c r="P227" s="77"/>
      <c r="Q227" s="79"/>
      <c r="R227" s="77"/>
    </row>
    <row r="228">
      <c r="A228" s="77"/>
      <c r="B228" s="77"/>
      <c r="C228" s="77"/>
      <c r="D228" s="77"/>
      <c r="E228" s="77"/>
      <c r="F228" s="101"/>
      <c r="G228" s="77"/>
      <c r="H228" s="79"/>
      <c r="I228" s="77"/>
      <c r="J228" s="77"/>
      <c r="K228" s="79"/>
      <c r="L228" s="77"/>
      <c r="M228" s="77"/>
      <c r="N228" s="79"/>
      <c r="O228" s="77"/>
      <c r="P228" s="77"/>
      <c r="Q228" s="79"/>
      <c r="R228" s="77"/>
    </row>
    <row r="229">
      <c r="A229" s="77"/>
      <c r="B229" s="77"/>
      <c r="C229" s="77"/>
      <c r="D229" s="77"/>
      <c r="E229" s="77"/>
      <c r="F229" s="101"/>
      <c r="G229" s="77"/>
      <c r="H229" s="79"/>
      <c r="I229" s="77"/>
      <c r="J229" s="77"/>
      <c r="K229" s="79"/>
      <c r="L229" s="77"/>
      <c r="M229" s="77"/>
      <c r="N229" s="79"/>
      <c r="O229" s="77"/>
      <c r="P229" s="77"/>
      <c r="Q229" s="79"/>
      <c r="R229" s="77"/>
    </row>
    <row r="230">
      <c r="A230" s="77"/>
      <c r="B230" s="77"/>
      <c r="C230" s="77"/>
      <c r="D230" s="77"/>
      <c r="E230" s="77"/>
      <c r="F230" s="101"/>
      <c r="G230" s="77"/>
      <c r="H230" s="79"/>
      <c r="I230" s="77"/>
      <c r="J230" s="77"/>
      <c r="K230" s="79"/>
      <c r="L230" s="77"/>
      <c r="M230" s="77"/>
      <c r="N230" s="79"/>
      <c r="O230" s="77"/>
      <c r="P230" s="77"/>
      <c r="Q230" s="79"/>
      <c r="R230" s="77"/>
    </row>
    <row r="231">
      <c r="A231" s="77"/>
      <c r="B231" s="77"/>
      <c r="C231" s="77"/>
      <c r="D231" s="77"/>
      <c r="E231" s="77"/>
      <c r="F231" s="101"/>
      <c r="G231" s="77"/>
      <c r="H231" s="79"/>
      <c r="I231" s="77"/>
      <c r="J231" s="77"/>
      <c r="K231" s="79"/>
      <c r="L231" s="77"/>
      <c r="M231" s="77"/>
      <c r="N231" s="79"/>
      <c r="O231" s="77"/>
      <c r="P231" s="77"/>
      <c r="Q231" s="79"/>
      <c r="R231" s="77"/>
    </row>
    <row r="232">
      <c r="A232" s="77"/>
      <c r="B232" s="77"/>
      <c r="C232" s="77"/>
      <c r="D232" s="77"/>
      <c r="E232" s="77"/>
      <c r="F232" s="101"/>
      <c r="G232" s="77"/>
      <c r="H232" s="79"/>
      <c r="I232" s="77"/>
      <c r="J232" s="77"/>
      <c r="K232" s="79"/>
      <c r="L232" s="77"/>
      <c r="M232" s="77"/>
      <c r="N232" s="79"/>
      <c r="O232" s="77"/>
      <c r="P232" s="77"/>
      <c r="Q232" s="79"/>
      <c r="R232" s="77"/>
    </row>
    <row r="233">
      <c r="A233" s="77"/>
      <c r="B233" s="77"/>
      <c r="C233" s="77"/>
      <c r="D233" s="77"/>
      <c r="E233" s="77"/>
      <c r="F233" s="101"/>
      <c r="G233" s="77"/>
      <c r="H233" s="79"/>
      <c r="I233" s="77"/>
      <c r="J233" s="77"/>
      <c r="K233" s="79"/>
      <c r="L233" s="77"/>
      <c r="M233" s="77"/>
      <c r="N233" s="79"/>
      <c r="O233" s="77"/>
      <c r="P233" s="77"/>
      <c r="Q233" s="79"/>
      <c r="R233" s="77"/>
    </row>
    <row r="234">
      <c r="A234" s="77"/>
      <c r="B234" s="77"/>
      <c r="C234" s="77"/>
      <c r="D234" s="77"/>
      <c r="E234" s="77"/>
      <c r="F234" s="101"/>
      <c r="G234" s="77"/>
      <c r="H234" s="79"/>
      <c r="I234" s="77"/>
      <c r="J234" s="77"/>
      <c r="K234" s="79"/>
      <c r="L234" s="77"/>
      <c r="M234" s="77"/>
      <c r="N234" s="79"/>
      <c r="O234" s="77"/>
      <c r="P234" s="77"/>
      <c r="Q234" s="79"/>
      <c r="R234" s="77"/>
    </row>
    <row r="235">
      <c r="A235" s="77"/>
      <c r="B235" s="77"/>
      <c r="C235" s="77"/>
      <c r="D235" s="77"/>
      <c r="E235" s="77"/>
      <c r="F235" s="101"/>
      <c r="G235" s="77"/>
      <c r="H235" s="79"/>
      <c r="I235" s="77"/>
      <c r="J235" s="77"/>
      <c r="K235" s="79"/>
      <c r="L235" s="77"/>
      <c r="M235" s="77"/>
      <c r="N235" s="79"/>
      <c r="O235" s="77"/>
      <c r="P235" s="77"/>
      <c r="Q235" s="79"/>
      <c r="R235" s="77"/>
    </row>
    <row r="236">
      <c r="A236" s="77"/>
      <c r="B236" s="77"/>
      <c r="C236" s="77"/>
      <c r="D236" s="77"/>
      <c r="E236" s="77"/>
      <c r="F236" s="101"/>
      <c r="G236" s="77"/>
      <c r="H236" s="79"/>
      <c r="I236" s="77"/>
      <c r="J236" s="77"/>
      <c r="K236" s="79"/>
      <c r="L236" s="77"/>
      <c r="M236" s="77"/>
      <c r="N236" s="79"/>
      <c r="O236" s="77"/>
      <c r="P236" s="77"/>
      <c r="Q236" s="79"/>
      <c r="R236" s="77"/>
    </row>
    <row r="237">
      <c r="A237" s="77"/>
      <c r="B237" s="77"/>
      <c r="C237" s="77"/>
      <c r="D237" s="77"/>
      <c r="E237" s="77"/>
      <c r="F237" s="101"/>
      <c r="G237" s="77"/>
      <c r="H237" s="79"/>
      <c r="I237" s="77"/>
      <c r="J237" s="77"/>
      <c r="K237" s="79"/>
      <c r="L237" s="77"/>
      <c r="M237" s="77"/>
      <c r="N237" s="79"/>
      <c r="O237" s="77"/>
      <c r="P237" s="77"/>
      <c r="Q237" s="79"/>
      <c r="R237" s="77"/>
    </row>
    <row r="238">
      <c r="A238" s="77"/>
      <c r="B238" s="77"/>
      <c r="C238" s="77"/>
      <c r="D238" s="77"/>
      <c r="E238" s="77"/>
      <c r="F238" s="101"/>
      <c r="G238" s="77"/>
      <c r="H238" s="79"/>
      <c r="I238" s="77"/>
      <c r="J238" s="77"/>
      <c r="K238" s="79"/>
      <c r="L238" s="77"/>
      <c r="M238" s="77"/>
      <c r="N238" s="79"/>
      <c r="O238" s="77"/>
      <c r="P238" s="77"/>
      <c r="Q238" s="79"/>
      <c r="R238" s="77"/>
    </row>
    <row r="239">
      <c r="A239" s="77"/>
      <c r="B239" s="77"/>
      <c r="C239" s="77"/>
      <c r="D239" s="77"/>
      <c r="E239" s="77"/>
      <c r="F239" s="101"/>
      <c r="G239" s="77"/>
      <c r="H239" s="79"/>
      <c r="I239" s="77"/>
      <c r="J239" s="77"/>
      <c r="K239" s="79"/>
      <c r="L239" s="77"/>
      <c r="M239" s="77"/>
      <c r="N239" s="79"/>
      <c r="O239" s="77"/>
      <c r="P239" s="77"/>
      <c r="Q239" s="79"/>
      <c r="R239" s="77"/>
    </row>
    <row r="240">
      <c r="A240" s="77"/>
      <c r="B240" s="77"/>
      <c r="C240" s="77"/>
      <c r="D240" s="77"/>
      <c r="E240" s="77"/>
      <c r="F240" s="101"/>
      <c r="G240" s="77"/>
      <c r="H240" s="79"/>
      <c r="I240" s="77"/>
      <c r="J240" s="77"/>
      <c r="K240" s="79"/>
      <c r="L240" s="77"/>
      <c r="M240" s="77"/>
      <c r="N240" s="79"/>
      <c r="O240" s="77"/>
      <c r="P240" s="77"/>
      <c r="Q240" s="79"/>
      <c r="R240" s="77"/>
    </row>
    <row r="241">
      <c r="A241" s="77"/>
      <c r="B241" s="77"/>
      <c r="C241" s="77"/>
      <c r="D241" s="77"/>
      <c r="E241" s="77"/>
      <c r="F241" s="101"/>
      <c r="G241" s="77"/>
      <c r="H241" s="79"/>
      <c r="I241" s="77"/>
      <c r="J241" s="77"/>
      <c r="K241" s="79"/>
      <c r="L241" s="77"/>
      <c r="M241" s="77"/>
      <c r="N241" s="79"/>
      <c r="O241" s="77"/>
      <c r="P241" s="77"/>
      <c r="Q241" s="79"/>
      <c r="R241" s="77"/>
    </row>
    <row r="242">
      <c r="A242" s="77"/>
      <c r="B242" s="77"/>
      <c r="C242" s="77"/>
      <c r="D242" s="77"/>
      <c r="E242" s="77"/>
      <c r="F242" s="101"/>
      <c r="G242" s="77"/>
      <c r="H242" s="79"/>
      <c r="I242" s="77"/>
      <c r="J242" s="77"/>
      <c r="K242" s="79"/>
      <c r="L242" s="77"/>
      <c r="M242" s="77"/>
      <c r="N242" s="79"/>
      <c r="O242" s="77"/>
      <c r="P242" s="77"/>
      <c r="Q242" s="79"/>
      <c r="R242" s="77"/>
    </row>
    <row r="243">
      <c r="A243" s="77"/>
      <c r="B243" s="77"/>
      <c r="C243" s="77"/>
      <c r="D243" s="77"/>
      <c r="E243" s="77"/>
      <c r="F243" s="101"/>
      <c r="G243" s="77"/>
      <c r="H243" s="79"/>
      <c r="I243" s="77"/>
      <c r="J243" s="77"/>
      <c r="K243" s="79"/>
      <c r="L243" s="77"/>
      <c r="M243" s="77"/>
      <c r="N243" s="79"/>
      <c r="O243" s="77"/>
      <c r="P243" s="77"/>
      <c r="Q243" s="79"/>
      <c r="R243" s="77"/>
    </row>
    <row r="244">
      <c r="A244" s="77"/>
      <c r="B244" s="77"/>
      <c r="C244" s="77"/>
      <c r="D244" s="77"/>
      <c r="E244" s="77"/>
      <c r="F244" s="101"/>
      <c r="G244" s="77"/>
      <c r="H244" s="79"/>
      <c r="I244" s="77"/>
      <c r="J244" s="77"/>
      <c r="K244" s="79"/>
      <c r="L244" s="77"/>
      <c r="M244" s="77"/>
      <c r="N244" s="79"/>
      <c r="O244" s="77"/>
      <c r="P244" s="77"/>
      <c r="Q244" s="79"/>
      <c r="R244" s="77"/>
    </row>
    <row r="245">
      <c r="A245" s="77"/>
      <c r="B245" s="77"/>
      <c r="C245" s="77"/>
      <c r="D245" s="77"/>
      <c r="E245" s="77"/>
      <c r="F245" s="101"/>
      <c r="G245" s="77"/>
      <c r="H245" s="79"/>
      <c r="I245" s="77"/>
      <c r="J245" s="77"/>
      <c r="K245" s="79"/>
      <c r="L245" s="77"/>
      <c r="M245" s="77"/>
      <c r="N245" s="79"/>
      <c r="O245" s="77"/>
      <c r="P245" s="77"/>
      <c r="Q245" s="79"/>
      <c r="R245" s="77"/>
    </row>
    <row r="246">
      <c r="A246" s="77"/>
      <c r="B246" s="77"/>
      <c r="C246" s="77"/>
      <c r="D246" s="77"/>
      <c r="E246" s="77"/>
      <c r="F246" s="101"/>
      <c r="G246" s="77"/>
      <c r="H246" s="79"/>
      <c r="I246" s="77"/>
      <c r="J246" s="77"/>
      <c r="K246" s="79"/>
      <c r="L246" s="77"/>
      <c r="M246" s="77"/>
      <c r="N246" s="79"/>
      <c r="O246" s="77"/>
      <c r="P246" s="77"/>
      <c r="Q246" s="79"/>
      <c r="R246" s="77"/>
    </row>
    <row r="247">
      <c r="A247" s="77"/>
      <c r="B247" s="77"/>
      <c r="C247" s="77"/>
      <c r="D247" s="77"/>
      <c r="E247" s="77"/>
      <c r="F247" s="101"/>
      <c r="G247" s="77"/>
      <c r="H247" s="79"/>
      <c r="I247" s="77"/>
      <c r="J247" s="77"/>
      <c r="K247" s="79"/>
      <c r="L247" s="77"/>
      <c r="M247" s="77"/>
      <c r="N247" s="79"/>
      <c r="O247" s="77"/>
      <c r="P247" s="77"/>
      <c r="Q247" s="79"/>
      <c r="R247" s="77"/>
    </row>
    <row r="248">
      <c r="A248" s="77"/>
      <c r="B248" s="77"/>
      <c r="C248" s="77"/>
      <c r="D248" s="77"/>
      <c r="E248" s="77"/>
      <c r="F248" s="101"/>
      <c r="G248" s="77"/>
      <c r="H248" s="79"/>
      <c r="I248" s="77"/>
      <c r="J248" s="77"/>
      <c r="K248" s="79"/>
      <c r="L248" s="77"/>
      <c r="M248" s="77"/>
      <c r="N248" s="79"/>
      <c r="O248" s="77"/>
      <c r="P248" s="77"/>
      <c r="Q248" s="79"/>
      <c r="R248" s="77"/>
    </row>
    <row r="249">
      <c r="A249" s="77"/>
      <c r="B249" s="77"/>
      <c r="C249" s="77"/>
      <c r="D249" s="77"/>
      <c r="E249" s="77"/>
      <c r="F249" s="101"/>
      <c r="G249" s="77"/>
      <c r="H249" s="79"/>
      <c r="I249" s="77"/>
      <c r="J249" s="77"/>
      <c r="K249" s="79"/>
      <c r="L249" s="77"/>
      <c r="M249" s="77"/>
      <c r="N249" s="79"/>
      <c r="O249" s="77"/>
      <c r="P249" s="77"/>
      <c r="Q249" s="79"/>
      <c r="R249" s="77"/>
    </row>
    <row r="250">
      <c r="A250" s="77"/>
      <c r="B250" s="77"/>
      <c r="C250" s="77"/>
      <c r="D250" s="77"/>
      <c r="E250" s="77"/>
      <c r="F250" s="101"/>
      <c r="G250" s="77"/>
      <c r="H250" s="79"/>
      <c r="I250" s="77"/>
      <c r="J250" s="77"/>
      <c r="K250" s="79"/>
      <c r="L250" s="77"/>
      <c r="M250" s="77"/>
      <c r="N250" s="79"/>
      <c r="O250" s="77"/>
      <c r="P250" s="77"/>
      <c r="Q250" s="79"/>
      <c r="R250" s="77"/>
    </row>
    <row r="251">
      <c r="A251" s="77"/>
      <c r="B251" s="77"/>
      <c r="C251" s="77"/>
      <c r="D251" s="77"/>
      <c r="E251" s="77"/>
      <c r="F251" s="101"/>
      <c r="G251" s="77"/>
      <c r="H251" s="79"/>
      <c r="I251" s="77"/>
      <c r="J251" s="77"/>
      <c r="K251" s="79"/>
      <c r="L251" s="77"/>
      <c r="M251" s="77"/>
      <c r="N251" s="79"/>
      <c r="O251" s="77"/>
      <c r="P251" s="77"/>
      <c r="Q251" s="79"/>
      <c r="R251" s="77"/>
    </row>
    <row r="252">
      <c r="A252" s="77"/>
      <c r="B252" s="77"/>
      <c r="C252" s="77"/>
      <c r="D252" s="77"/>
      <c r="E252" s="77"/>
      <c r="F252" s="101"/>
      <c r="G252" s="77"/>
      <c r="H252" s="79"/>
      <c r="I252" s="77"/>
      <c r="J252" s="77"/>
      <c r="K252" s="79"/>
      <c r="L252" s="77"/>
      <c r="M252" s="77"/>
      <c r="N252" s="79"/>
      <c r="O252" s="77"/>
      <c r="P252" s="77"/>
      <c r="Q252" s="79"/>
      <c r="R252" s="77"/>
    </row>
    <row r="253">
      <c r="A253" s="77"/>
      <c r="B253" s="77"/>
      <c r="C253" s="77"/>
      <c r="D253" s="77"/>
      <c r="E253" s="77"/>
      <c r="F253" s="101"/>
      <c r="G253" s="77"/>
      <c r="H253" s="79"/>
      <c r="I253" s="77"/>
      <c r="J253" s="77"/>
      <c r="K253" s="79"/>
      <c r="L253" s="77"/>
      <c r="M253" s="77"/>
      <c r="N253" s="79"/>
      <c r="O253" s="77"/>
      <c r="P253" s="77"/>
      <c r="Q253" s="79"/>
      <c r="R253" s="77"/>
    </row>
    <row r="254">
      <c r="A254" s="77"/>
      <c r="B254" s="77"/>
      <c r="C254" s="77"/>
      <c r="D254" s="77"/>
      <c r="E254" s="77"/>
      <c r="F254" s="101"/>
      <c r="G254" s="77"/>
      <c r="H254" s="79"/>
      <c r="I254" s="77"/>
      <c r="J254" s="77"/>
      <c r="K254" s="79"/>
      <c r="L254" s="77"/>
      <c r="M254" s="77"/>
      <c r="N254" s="79"/>
      <c r="O254" s="77"/>
      <c r="P254" s="77"/>
      <c r="Q254" s="79"/>
      <c r="R254" s="77"/>
    </row>
    <row r="255">
      <c r="A255" s="77"/>
      <c r="B255" s="77"/>
      <c r="C255" s="77"/>
      <c r="D255" s="77"/>
      <c r="E255" s="77"/>
      <c r="F255" s="101"/>
      <c r="G255" s="77"/>
      <c r="H255" s="79"/>
      <c r="I255" s="77"/>
      <c r="J255" s="77"/>
      <c r="K255" s="79"/>
      <c r="L255" s="77"/>
      <c r="M255" s="77"/>
      <c r="N255" s="79"/>
      <c r="O255" s="77"/>
      <c r="P255" s="77"/>
      <c r="Q255" s="79"/>
      <c r="R255" s="77"/>
    </row>
    <row r="256">
      <c r="A256" s="77"/>
      <c r="B256" s="77"/>
      <c r="C256" s="77"/>
      <c r="D256" s="77"/>
      <c r="E256" s="77"/>
      <c r="F256" s="101"/>
      <c r="G256" s="77"/>
      <c r="H256" s="79"/>
      <c r="I256" s="77"/>
      <c r="J256" s="77"/>
      <c r="K256" s="79"/>
      <c r="L256" s="77"/>
      <c r="M256" s="77"/>
      <c r="N256" s="79"/>
      <c r="O256" s="77"/>
      <c r="P256" s="77"/>
      <c r="Q256" s="79"/>
      <c r="R256" s="77"/>
    </row>
    <row r="257">
      <c r="A257" s="77"/>
      <c r="B257" s="77"/>
      <c r="C257" s="77"/>
      <c r="D257" s="77"/>
      <c r="E257" s="77"/>
      <c r="F257" s="101"/>
      <c r="G257" s="77"/>
      <c r="H257" s="79"/>
      <c r="I257" s="77"/>
      <c r="J257" s="77"/>
      <c r="K257" s="79"/>
      <c r="L257" s="77"/>
      <c r="M257" s="77"/>
      <c r="N257" s="79"/>
      <c r="O257" s="77"/>
      <c r="P257" s="77"/>
      <c r="Q257" s="79"/>
      <c r="R257" s="77"/>
    </row>
    <row r="258">
      <c r="A258" s="77"/>
      <c r="B258" s="77"/>
      <c r="C258" s="77"/>
      <c r="D258" s="77"/>
      <c r="E258" s="77"/>
      <c r="F258" s="101"/>
      <c r="G258" s="77"/>
      <c r="H258" s="79"/>
      <c r="I258" s="77"/>
      <c r="J258" s="77"/>
      <c r="K258" s="79"/>
      <c r="L258" s="77"/>
      <c r="M258" s="77"/>
      <c r="N258" s="79"/>
      <c r="O258" s="77"/>
      <c r="P258" s="77"/>
      <c r="Q258" s="79"/>
      <c r="R258" s="77"/>
    </row>
    <row r="259">
      <c r="A259" s="77"/>
      <c r="B259" s="77"/>
      <c r="C259" s="77"/>
      <c r="D259" s="77"/>
      <c r="E259" s="77"/>
      <c r="F259" s="101"/>
      <c r="G259" s="77"/>
      <c r="H259" s="79"/>
      <c r="I259" s="77"/>
      <c r="J259" s="77"/>
      <c r="K259" s="79"/>
      <c r="L259" s="77"/>
      <c r="M259" s="77"/>
      <c r="N259" s="79"/>
      <c r="O259" s="77"/>
      <c r="P259" s="77"/>
      <c r="Q259" s="79"/>
      <c r="R259" s="77"/>
    </row>
    <row r="260">
      <c r="A260" s="77"/>
      <c r="B260" s="77"/>
      <c r="C260" s="77"/>
      <c r="D260" s="77"/>
      <c r="E260" s="77"/>
      <c r="F260" s="101"/>
      <c r="G260" s="77"/>
      <c r="H260" s="79"/>
      <c r="I260" s="77"/>
      <c r="J260" s="77"/>
      <c r="K260" s="79"/>
      <c r="L260" s="77"/>
      <c r="M260" s="77"/>
      <c r="N260" s="79"/>
      <c r="O260" s="77"/>
      <c r="P260" s="77"/>
      <c r="Q260" s="79"/>
      <c r="R260" s="77"/>
    </row>
    <row r="261">
      <c r="A261" s="77"/>
      <c r="B261" s="77"/>
      <c r="C261" s="77"/>
      <c r="D261" s="77"/>
      <c r="E261" s="77"/>
      <c r="F261" s="101"/>
      <c r="G261" s="77"/>
      <c r="H261" s="79"/>
      <c r="I261" s="77"/>
      <c r="J261" s="77"/>
      <c r="K261" s="79"/>
      <c r="L261" s="77"/>
      <c r="M261" s="77"/>
      <c r="N261" s="79"/>
      <c r="O261" s="77"/>
      <c r="P261" s="77"/>
      <c r="Q261" s="79"/>
      <c r="R261" s="77"/>
    </row>
    <row r="262">
      <c r="A262" s="77"/>
      <c r="B262" s="77"/>
      <c r="C262" s="77"/>
      <c r="D262" s="77"/>
      <c r="E262" s="77"/>
      <c r="F262" s="101"/>
      <c r="G262" s="77"/>
      <c r="H262" s="79"/>
      <c r="I262" s="77"/>
      <c r="J262" s="77"/>
      <c r="K262" s="79"/>
      <c r="L262" s="77"/>
      <c r="M262" s="77"/>
      <c r="N262" s="79"/>
      <c r="O262" s="77"/>
      <c r="P262" s="77"/>
      <c r="Q262" s="79"/>
      <c r="R262" s="77"/>
    </row>
    <row r="263">
      <c r="A263" s="77"/>
      <c r="B263" s="77"/>
      <c r="C263" s="77"/>
      <c r="D263" s="77"/>
      <c r="E263" s="77"/>
      <c r="F263" s="101"/>
      <c r="G263" s="77"/>
      <c r="H263" s="79"/>
      <c r="I263" s="77"/>
      <c r="J263" s="77"/>
      <c r="K263" s="79"/>
      <c r="L263" s="77"/>
      <c r="M263" s="77"/>
      <c r="N263" s="79"/>
      <c r="O263" s="77"/>
      <c r="P263" s="77"/>
      <c r="Q263" s="79"/>
      <c r="R263" s="77"/>
    </row>
    <row r="264">
      <c r="A264" s="77"/>
      <c r="B264" s="77"/>
      <c r="C264" s="77"/>
      <c r="D264" s="77"/>
      <c r="E264" s="77"/>
      <c r="F264" s="101"/>
      <c r="G264" s="77"/>
      <c r="H264" s="79"/>
      <c r="I264" s="77"/>
      <c r="J264" s="77"/>
      <c r="K264" s="79"/>
      <c r="L264" s="77"/>
      <c r="M264" s="77"/>
      <c r="N264" s="79"/>
      <c r="O264" s="77"/>
      <c r="P264" s="77"/>
      <c r="Q264" s="79"/>
      <c r="R264" s="77"/>
    </row>
    <row r="265">
      <c r="A265" s="77"/>
      <c r="B265" s="77"/>
      <c r="C265" s="77"/>
      <c r="D265" s="77"/>
      <c r="E265" s="77"/>
      <c r="F265" s="101"/>
      <c r="G265" s="77"/>
      <c r="H265" s="79"/>
      <c r="I265" s="77"/>
      <c r="J265" s="77"/>
      <c r="K265" s="79"/>
      <c r="L265" s="77"/>
      <c r="M265" s="77"/>
      <c r="N265" s="79"/>
      <c r="O265" s="77"/>
      <c r="P265" s="77"/>
      <c r="Q265" s="79"/>
      <c r="R265" s="77"/>
    </row>
    <row r="266">
      <c r="A266" s="77"/>
      <c r="B266" s="77"/>
      <c r="C266" s="77"/>
      <c r="D266" s="77"/>
      <c r="E266" s="77"/>
      <c r="F266" s="101"/>
      <c r="G266" s="77"/>
      <c r="H266" s="79"/>
      <c r="I266" s="77"/>
      <c r="J266" s="77"/>
      <c r="K266" s="79"/>
      <c r="L266" s="77"/>
      <c r="M266" s="77"/>
      <c r="N266" s="79"/>
      <c r="O266" s="77"/>
      <c r="P266" s="77"/>
      <c r="Q266" s="79"/>
      <c r="R266" s="77"/>
    </row>
    <row r="267">
      <c r="A267" s="77"/>
      <c r="B267" s="77"/>
      <c r="C267" s="77"/>
      <c r="D267" s="77"/>
      <c r="E267" s="77"/>
      <c r="F267" s="101"/>
      <c r="G267" s="77"/>
      <c r="H267" s="79"/>
      <c r="I267" s="77"/>
      <c r="J267" s="77"/>
      <c r="K267" s="79"/>
      <c r="L267" s="77"/>
      <c r="M267" s="77"/>
      <c r="N267" s="79"/>
      <c r="O267" s="77"/>
      <c r="P267" s="77"/>
      <c r="Q267" s="79"/>
      <c r="R267" s="77"/>
    </row>
    <row r="268">
      <c r="A268" s="77"/>
      <c r="B268" s="77"/>
      <c r="C268" s="77"/>
      <c r="D268" s="77"/>
      <c r="E268" s="77"/>
      <c r="F268" s="101"/>
      <c r="G268" s="77"/>
      <c r="H268" s="79"/>
      <c r="I268" s="77"/>
      <c r="J268" s="77"/>
      <c r="K268" s="79"/>
      <c r="L268" s="77"/>
      <c r="M268" s="77"/>
      <c r="N268" s="79"/>
      <c r="O268" s="77"/>
      <c r="P268" s="77"/>
      <c r="Q268" s="79"/>
      <c r="R268" s="77"/>
    </row>
    <row r="269">
      <c r="A269" s="77"/>
      <c r="B269" s="77"/>
      <c r="C269" s="77"/>
      <c r="D269" s="77"/>
      <c r="E269" s="77"/>
      <c r="F269" s="101"/>
      <c r="G269" s="77"/>
      <c r="H269" s="79"/>
      <c r="I269" s="77"/>
      <c r="J269" s="77"/>
      <c r="K269" s="79"/>
      <c r="L269" s="77"/>
      <c r="M269" s="77"/>
      <c r="N269" s="79"/>
      <c r="O269" s="77"/>
      <c r="P269" s="77"/>
      <c r="Q269" s="79"/>
      <c r="R269" s="77"/>
    </row>
    <row r="270">
      <c r="A270" s="77"/>
      <c r="B270" s="77"/>
      <c r="C270" s="77"/>
      <c r="D270" s="77"/>
      <c r="E270" s="77"/>
      <c r="F270" s="101"/>
      <c r="G270" s="77"/>
      <c r="H270" s="79"/>
      <c r="I270" s="77"/>
      <c r="J270" s="77"/>
      <c r="K270" s="79"/>
      <c r="L270" s="77"/>
      <c r="M270" s="77"/>
      <c r="N270" s="79"/>
      <c r="O270" s="77"/>
      <c r="P270" s="77"/>
      <c r="Q270" s="79"/>
      <c r="R270" s="77"/>
    </row>
    <row r="271">
      <c r="A271" s="77"/>
      <c r="B271" s="77"/>
      <c r="C271" s="77"/>
      <c r="D271" s="77"/>
      <c r="E271" s="77"/>
      <c r="F271" s="101"/>
      <c r="G271" s="77"/>
      <c r="H271" s="79"/>
      <c r="I271" s="77"/>
      <c r="J271" s="77"/>
      <c r="K271" s="79"/>
      <c r="L271" s="77"/>
      <c r="M271" s="77"/>
      <c r="N271" s="79"/>
      <c r="O271" s="77"/>
      <c r="P271" s="77"/>
      <c r="Q271" s="79"/>
      <c r="R271" s="77"/>
    </row>
    <row r="272">
      <c r="A272" s="77"/>
      <c r="B272" s="77"/>
      <c r="C272" s="77"/>
      <c r="D272" s="77"/>
      <c r="E272" s="77"/>
      <c r="F272" s="101"/>
      <c r="G272" s="77"/>
      <c r="H272" s="79"/>
      <c r="I272" s="77"/>
      <c r="J272" s="77"/>
      <c r="K272" s="79"/>
      <c r="L272" s="77"/>
      <c r="M272" s="77"/>
      <c r="N272" s="79"/>
      <c r="O272" s="77"/>
      <c r="P272" s="77"/>
      <c r="Q272" s="79"/>
      <c r="R272" s="77"/>
    </row>
    <row r="273">
      <c r="A273" s="77"/>
      <c r="B273" s="77"/>
      <c r="C273" s="77"/>
      <c r="D273" s="77"/>
      <c r="E273" s="77"/>
      <c r="F273" s="101"/>
      <c r="G273" s="77"/>
      <c r="H273" s="79"/>
      <c r="I273" s="77"/>
      <c r="J273" s="77"/>
      <c r="K273" s="79"/>
      <c r="L273" s="77"/>
      <c r="M273" s="77"/>
      <c r="N273" s="79"/>
      <c r="O273" s="77"/>
      <c r="P273" s="77"/>
      <c r="Q273" s="79"/>
      <c r="R273" s="77"/>
    </row>
    <row r="274">
      <c r="A274" s="77"/>
      <c r="B274" s="77"/>
      <c r="C274" s="77"/>
      <c r="D274" s="77"/>
      <c r="E274" s="77"/>
      <c r="F274" s="101"/>
      <c r="G274" s="77"/>
      <c r="H274" s="79"/>
      <c r="I274" s="77"/>
      <c r="J274" s="77"/>
      <c r="K274" s="79"/>
      <c r="L274" s="77"/>
      <c r="M274" s="77"/>
      <c r="N274" s="79"/>
      <c r="O274" s="77"/>
      <c r="P274" s="77"/>
      <c r="Q274" s="79"/>
      <c r="R274" s="77"/>
    </row>
    <row r="275">
      <c r="A275" s="77"/>
      <c r="B275" s="77"/>
      <c r="C275" s="77"/>
      <c r="D275" s="77"/>
      <c r="E275" s="77"/>
      <c r="F275" s="101"/>
      <c r="G275" s="77"/>
      <c r="H275" s="79"/>
      <c r="I275" s="77"/>
      <c r="J275" s="77"/>
      <c r="K275" s="79"/>
      <c r="L275" s="77"/>
      <c r="M275" s="77"/>
      <c r="N275" s="79"/>
      <c r="O275" s="77"/>
      <c r="P275" s="77"/>
      <c r="Q275" s="79"/>
      <c r="R275" s="77"/>
    </row>
    <row r="276">
      <c r="A276" s="77"/>
      <c r="B276" s="77"/>
      <c r="C276" s="77"/>
      <c r="D276" s="77"/>
      <c r="E276" s="77"/>
      <c r="F276" s="101"/>
      <c r="G276" s="77"/>
      <c r="H276" s="79"/>
      <c r="I276" s="77"/>
      <c r="J276" s="77"/>
      <c r="K276" s="79"/>
      <c r="L276" s="77"/>
      <c r="M276" s="77"/>
      <c r="N276" s="79"/>
      <c r="O276" s="77"/>
      <c r="P276" s="77"/>
      <c r="Q276" s="79"/>
      <c r="R276" s="77"/>
    </row>
    <row r="277">
      <c r="A277" s="77"/>
      <c r="B277" s="77"/>
      <c r="C277" s="77"/>
      <c r="D277" s="77"/>
      <c r="E277" s="77"/>
      <c r="F277" s="101"/>
      <c r="G277" s="77"/>
      <c r="H277" s="79"/>
      <c r="I277" s="77"/>
      <c r="J277" s="77"/>
      <c r="K277" s="79"/>
      <c r="L277" s="77"/>
      <c r="M277" s="77"/>
      <c r="N277" s="79"/>
      <c r="O277" s="77"/>
      <c r="P277" s="77"/>
      <c r="Q277" s="79"/>
      <c r="R277" s="77"/>
    </row>
    <row r="278">
      <c r="A278" s="77"/>
      <c r="B278" s="77"/>
      <c r="C278" s="77"/>
      <c r="D278" s="77"/>
      <c r="E278" s="77"/>
      <c r="F278" s="101"/>
      <c r="G278" s="77"/>
      <c r="H278" s="79"/>
      <c r="I278" s="77"/>
      <c r="J278" s="77"/>
      <c r="K278" s="79"/>
      <c r="L278" s="77"/>
      <c r="M278" s="77"/>
      <c r="N278" s="79"/>
      <c r="O278" s="77"/>
      <c r="P278" s="77"/>
      <c r="Q278" s="79"/>
      <c r="R278" s="77"/>
    </row>
    <row r="279">
      <c r="A279" s="77"/>
      <c r="B279" s="77"/>
      <c r="C279" s="77"/>
      <c r="D279" s="77"/>
      <c r="E279" s="77"/>
      <c r="F279" s="101"/>
      <c r="G279" s="77"/>
      <c r="H279" s="79"/>
      <c r="I279" s="77"/>
      <c r="J279" s="77"/>
      <c r="K279" s="79"/>
      <c r="L279" s="77"/>
      <c r="M279" s="77"/>
      <c r="N279" s="79"/>
      <c r="O279" s="77"/>
      <c r="P279" s="77"/>
      <c r="Q279" s="79"/>
      <c r="R279" s="77"/>
    </row>
    <row r="280">
      <c r="A280" s="77"/>
      <c r="B280" s="77"/>
      <c r="C280" s="77"/>
      <c r="D280" s="77"/>
      <c r="E280" s="77"/>
      <c r="F280" s="101"/>
      <c r="G280" s="77"/>
      <c r="H280" s="79"/>
      <c r="I280" s="77"/>
      <c r="J280" s="77"/>
      <c r="K280" s="79"/>
      <c r="L280" s="77"/>
      <c r="M280" s="77"/>
      <c r="N280" s="79"/>
      <c r="O280" s="77"/>
      <c r="P280" s="77"/>
      <c r="Q280" s="79"/>
      <c r="R280" s="77"/>
    </row>
    <row r="281">
      <c r="A281" s="77"/>
      <c r="B281" s="77"/>
      <c r="C281" s="77"/>
      <c r="D281" s="77"/>
      <c r="E281" s="77"/>
      <c r="F281" s="101"/>
      <c r="G281" s="77"/>
      <c r="H281" s="79"/>
      <c r="I281" s="77"/>
      <c r="J281" s="77"/>
      <c r="K281" s="79"/>
      <c r="L281" s="77"/>
      <c r="M281" s="77"/>
      <c r="N281" s="79"/>
      <c r="O281" s="77"/>
      <c r="P281" s="77"/>
      <c r="Q281" s="79"/>
      <c r="R281" s="77"/>
    </row>
    <row r="282">
      <c r="A282" s="77"/>
      <c r="B282" s="77"/>
      <c r="C282" s="77"/>
      <c r="D282" s="77"/>
      <c r="E282" s="77"/>
      <c r="F282" s="101"/>
      <c r="G282" s="77"/>
      <c r="H282" s="79"/>
      <c r="I282" s="77"/>
      <c r="J282" s="77"/>
      <c r="K282" s="79"/>
      <c r="L282" s="77"/>
      <c r="M282" s="77"/>
      <c r="N282" s="79"/>
      <c r="O282" s="77"/>
      <c r="P282" s="77"/>
      <c r="Q282" s="79"/>
      <c r="R282" s="77"/>
    </row>
    <row r="283">
      <c r="A283" s="77"/>
      <c r="B283" s="77"/>
      <c r="C283" s="77"/>
      <c r="D283" s="77"/>
      <c r="E283" s="77"/>
      <c r="F283" s="101"/>
      <c r="G283" s="77"/>
      <c r="H283" s="79"/>
      <c r="I283" s="77"/>
      <c r="J283" s="77"/>
      <c r="K283" s="79"/>
      <c r="L283" s="77"/>
      <c r="M283" s="77"/>
      <c r="N283" s="79"/>
      <c r="O283" s="77"/>
      <c r="P283" s="77"/>
      <c r="Q283" s="79"/>
      <c r="R283" s="77"/>
    </row>
    <row r="284">
      <c r="A284" s="77"/>
      <c r="B284" s="77"/>
      <c r="C284" s="77"/>
      <c r="D284" s="77"/>
      <c r="E284" s="77"/>
      <c r="F284" s="101"/>
      <c r="G284" s="77"/>
      <c r="H284" s="79"/>
      <c r="I284" s="77"/>
      <c r="J284" s="77"/>
      <c r="K284" s="79"/>
      <c r="L284" s="77"/>
      <c r="M284" s="77"/>
      <c r="N284" s="79"/>
      <c r="O284" s="77"/>
      <c r="P284" s="77"/>
      <c r="Q284" s="79"/>
      <c r="R284" s="77"/>
    </row>
    <row r="285">
      <c r="A285" s="77"/>
      <c r="B285" s="77"/>
      <c r="C285" s="77"/>
      <c r="D285" s="77"/>
      <c r="E285" s="77"/>
      <c r="F285" s="101"/>
      <c r="G285" s="77"/>
      <c r="H285" s="79"/>
      <c r="I285" s="77"/>
      <c r="J285" s="77"/>
      <c r="K285" s="79"/>
      <c r="L285" s="77"/>
      <c r="M285" s="77"/>
      <c r="N285" s="79"/>
      <c r="O285" s="77"/>
      <c r="P285" s="77"/>
      <c r="Q285" s="79"/>
      <c r="R285" s="77"/>
    </row>
    <row r="286">
      <c r="A286" s="77"/>
      <c r="B286" s="77"/>
      <c r="C286" s="77"/>
      <c r="D286" s="77"/>
      <c r="E286" s="77"/>
      <c r="F286" s="101"/>
      <c r="G286" s="77"/>
      <c r="H286" s="79"/>
      <c r="I286" s="77"/>
      <c r="J286" s="77"/>
      <c r="K286" s="79"/>
      <c r="L286" s="77"/>
      <c r="M286" s="77"/>
      <c r="N286" s="79"/>
      <c r="O286" s="77"/>
      <c r="P286" s="77"/>
      <c r="Q286" s="79"/>
      <c r="R286" s="77"/>
    </row>
    <row r="287">
      <c r="A287" s="77"/>
      <c r="B287" s="77"/>
      <c r="C287" s="77"/>
      <c r="D287" s="77"/>
      <c r="E287" s="77"/>
      <c r="F287" s="101"/>
      <c r="G287" s="77"/>
      <c r="H287" s="79"/>
      <c r="I287" s="77"/>
      <c r="J287" s="77"/>
      <c r="K287" s="79"/>
      <c r="L287" s="77"/>
      <c r="M287" s="77"/>
      <c r="N287" s="79"/>
      <c r="O287" s="77"/>
      <c r="P287" s="77"/>
      <c r="Q287" s="79"/>
      <c r="R287" s="77"/>
    </row>
    <row r="288">
      <c r="A288" s="77"/>
      <c r="B288" s="77"/>
      <c r="C288" s="77"/>
      <c r="D288" s="77"/>
      <c r="E288" s="77"/>
      <c r="F288" s="101"/>
      <c r="G288" s="77"/>
      <c r="H288" s="79"/>
      <c r="I288" s="77"/>
      <c r="J288" s="77"/>
      <c r="K288" s="79"/>
      <c r="L288" s="77"/>
      <c r="M288" s="77"/>
      <c r="N288" s="79"/>
      <c r="O288" s="77"/>
      <c r="P288" s="77"/>
      <c r="Q288" s="79"/>
      <c r="R288" s="77"/>
    </row>
    <row r="289">
      <c r="A289" s="77"/>
      <c r="B289" s="77"/>
      <c r="C289" s="77"/>
      <c r="D289" s="77"/>
      <c r="E289" s="77"/>
      <c r="F289" s="101"/>
      <c r="G289" s="77"/>
      <c r="H289" s="79"/>
      <c r="I289" s="77"/>
      <c r="J289" s="77"/>
      <c r="K289" s="79"/>
      <c r="L289" s="77"/>
      <c r="M289" s="77"/>
      <c r="N289" s="79"/>
      <c r="O289" s="77"/>
      <c r="P289" s="77"/>
      <c r="Q289" s="79"/>
      <c r="R289" s="77"/>
    </row>
    <row r="290">
      <c r="A290" s="77"/>
      <c r="B290" s="77"/>
      <c r="C290" s="77"/>
      <c r="D290" s="77"/>
      <c r="E290" s="77"/>
      <c r="F290" s="101"/>
      <c r="G290" s="77"/>
      <c r="H290" s="79"/>
      <c r="I290" s="77"/>
      <c r="J290" s="77"/>
      <c r="K290" s="79"/>
      <c r="L290" s="77"/>
      <c r="M290" s="77"/>
      <c r="N290" s="79"/>
      <c r="O290" s="77"/>
      <c r="P290" s="77"/>
      <c r="Q290" s="79"/>
      <c r="R290" s="77"/>
    </row>
    <row r="291">
      <c r="A291" s="77"/>
      <c r="B291" s="77"/>
      <c r="C291" s="77"/>
      <c r="D291" s="77"/>
      <c r="E291" s="77"/>
      <c r="F291" s="101"/>
      <c r="G291" s="77"/>
      <c r="H291" s="79"/>
      <c r="I291" s="77"/>
      <c r="J291" s="77"/>
      <c r="K291" s="79"/>
      <c r="L291" s="77"/>
      <c r="M291" s="77"/>
      <c r="N291" s="79"/>
      <c r="O291" s="77"/>
      <c r="P291" s="77"/>
      <c r="Q291" s="79"/>
      <c r="R291" s="77"/>
    </row>
    <row r="292">
      <c r="A292" s="77"/>
      <c r="B292" s="77"/>
      <c r="C292" s="77"/>
      <c r="D292" s="77"/>
      <c r="E292" s="77"/>
      <c r="F292" s="101"/>
      <c r="G292" s="77"/>
      <c r="H292" s="79"/>
      <c r="I292" s="77"/>
      <c r="J292" s="77"/>
      <c r="K292" s="79"/>
      <c r="L292" s="77"/>
      <c r="M292" s="77"/>
      <c r="N292" s="79"/>
      <c r="O292" s="77"/>
      <c r="P292" s="77"/>
      <c r="Q292" s="79"/>
      <c r="R292" s="77"/>
    </row>
    <row r="293">
      <c r="A293" s="77"/>
      <c r="B293" s="77"/>
      <c r="C293" s="77"/>
      <c r="D293" s="77"/>
      <c r="E293" s="77"/>
      <c r="F293" s="101"/>
      <c r="G293" s="77"/>
      <c r="H293" s="79"/>
      <c r="I293" s="77"/>
      <c r="J293" s="77"/>
      <c r="K293" s="79"/>
      <c r="L293" s="77"/>
      <c r="M293" s="77"/>
      <c r="N293" s="79"/>
      <c r="O293" s="77"/>
      <c r="P293" s="77"/>
      <c r="Q293" s="79"/>
      <c r="R293" s="77"/>
    </row>
    <row r="294">
      <c r="A294" s="77"/>
      <c r="B294" s="77"/>
      <c r="C294" s="77"/>
      <c r="D294" s="77"/>
      <c r="E294" s="77"/>
      <c r="F294" s="101"/>
      <c r="G294" s="77"/>
      <c r="H294" s="79"/>
      <c r="I294" s="77"/>
      <c r="J294" s="77"/>
      <c r="K294" s="79"/>
      <c r="L294" s="77"/>
      <c r="M294" s="77"/>
      <c r="N294" s="79"/>
      <c r="O294" s="77"/>
      <c r="P294" s="77"/>
      <c r="Q294" s="79"/>
      <c r="R294" s="77"/>
    </row>
    <row r="295">
      <c r="A295" s="77"/>
      <c r="B295" s="77"/>
      <c r="C295" s="77"/>
      <c r="D295" s="77"/>
      <c r="E295" s="77"/>
      <c r="F295" s="101"/>
      <c r="G295" s="77"/>
      <c r="H295" s="79"/>
      <c r="I295" s="77"/>
      <c r="J295" s="77"/>
      <c r="K295" s="79"/>
      <c r="L295" s="77"/>
      <c r="M295" s="77"/>
      <c r="N295" s="79"/>
      <c r="O295" s="77"/>
      <c r="P295" s="77"/>
      <c r="Q295" s="79"/>
      <c r="R295" s="77"/>
    </row>
    <row r="296">
      <c r="A296" s="77"/>
      <c r="B296" s="77"/>
      <c r="C296" s="77"/>
      <c r="D296" s="77"/>
      <c r="E296" s="77"/>
      <c r="F296" s="101"/>
      <c r="G296" s="77"/>
      <c r="H296" s="79"/>
      <c r="I296" s="77"/>
      <c r="J296" s="77"/>
      <c r="K296" s="79"/>
      <c r="L296" s="77"/>
      <c r="M296" s="77"/>
      <c r="N296" s="79"/>
      <c r="O296" s="77"/>
      <c r="P296" s="77"/>
      <c r="Q296" s="79"/>
      <c r="R296" s="77"/>
    </row>
    <row r="297">
      <c r="A297" s="77"/>
      <c r="B297" s="77"/>
      <c r="C297" s="77"/>
      <c r="D297" s="77"/>
      <c r="E297" s="77"/>
      <c r="F297" s="101"/>
      <c r="G297" s="77"/>
      <c r="H297" s="79"/>
      <c r="I297" s="77"/>
      <c r="J297" s="77"/>
      <c r="K297" s="79"/>
      <c r="L297" s="77"/>
      <c r="M297" s="77"/>
      <c r="N297" s="79"/>
      <c r="O297" s="77"/>
      <c r="P297" s="77"/>
      <c r="Q297" s="79"/>
      <c r="R297" s="77"/>
    </row>
    <row r="298">
      <c r="A298" s="77"/>
      <c r="B298" s="77"/>
      <c r="C298" s="77"/>
      <c r="D298" s="77"/>
      <c r="E298" s="77"/>
      <c r="F298" s="101"/>
      <c r="G298" s="77"/>
      <c r="H298" s="79"/>
      <c r="I298" s="77"/>
      <c r="J298" s="77"/>
      <c r="K298" s="79"/>
      <c r="L298" s="77"/>
      <c r="M298" s="77"/>
      <c r="N298" s="79"/>
      <c r="O298" s="77"/>
      <c r="P298" s="77"/>
      <c r="Q298" s="79"/>
      <c r="R298" s="77"/>
    </row>
    <row r="299">
      <c r="A299" s="77"/>
      <c r="B299" s="77"/>
      <c r="C299" s="77"/>
      <c r="D299" s="77"/>
      <c r="E299" s="77"/>
      <c r="F299" s="101"/>
      <c r="G299" s="77"/>
      <c r="H299" s="79"/>
      <c r="I299" s="77"/>
      <c r="J299" s="77"/>
      <c r="K299" s="79"/>
      <c r="L299" s="77"/>
      <c r="M299" s="77"/>
      <c r="N299" s="79"/>
      <c r="O299" s="77"/>
      <c r="P299" s="77"/>
      <c r="Q299" s="79"/>
      <c r="R299" s="77"/>
    </row>
    <row r="300">
      <c r="A300" s="77"/>
      <c r="B300" s="77"/>
      <c r="C300" s="77"/>
      <c r="D300" s="77"/>
      <c r="E300" s="77"/>
      <c r="F300" s="101"/>
      <c r="G300" s="77"/>
      <c r="H300" s="79"/>
      <c r="I300" s="77"/>
      <c r="J300" s="77"/>
      <c r="K300" s="79"/>
      <c r="L300" s="77"/>
      <c r="M300" s="77"/>
      <c r="N300" s="79"/>
      <c r="O300" s="77"/>
      <c r="P300" s="77"/>
      <c r="Q300" s="79"/>
      <c r="R300" s="77"/>
    </row>
    <row r="301">
      <c r="A301" s="77"/>
      <c r="B301" s="77"/>
      <c r="C301" s="77"/>
      <c r="D301" s="77"/>
      <c r="E301" s="77"/>
      <c r="F301" s="101"/>
      <c r="G301" s="77"/>
      <c r="H301" s="79"/>
      <c r="I301" s="77"/>
      <c r="J301" s="77"/>
      <c r="K301" s="79"/>
      <c r="L301" s="77"/>
      <c r="M301" s="77"/>
      <c r="N301" s="79"/>
      <c r="O301" s="77"/>
      <c r="P301" s="77"/>
      <c r="Q301" s="79"/>
      <c r="R301" s="77"/>
    </row>
    <row r="302">
      <c r="A302" s="77"/>
      <c r="B302" s="77"/>
      <c r="C302" s="77"/>
      <c r="D302" s="77"/>
      <c r="E302" s="77"/>
      <c r="F302" s="101"/>
      <c r="G302" s="77"/>
      <c r="H302" s="79"/>
      <c r="I302" s="77"/>
      <c r="J302" s="77"/>
      <c r="K302" s="79"/>
      <c r="L302" s="77"/>
      <c r="M302" s="77"/>
      <c r="N302" s="79"/>
      <c r="O302" s="77"/>
      <c r="P302" s="77"/>
      <c r="Q302" s="79"/>
      <c r="R302" s="77"/>
    </row>
    <row r="303">
      <c r="A303" s="77"/>
      <c r="B303" s="77"/>
      <c r="C303" s="77"/>
      <c r="D303" s="77"/>
      <c r="E303" s="77"/>
      <c r="F303" s="101"/>
      <c r="G303" s="77"/>
      <c r="H303" s="79"/>
      <c r="I303" s="77"/>
      <c r="J303" s="77"/>
      <c r="K303" s="79"/>
      <c r="L303" s="77"/>
      <c r="M303" s="77"/>
      <c r="N303" s="79"/>
      <c r="O303" s="77"/>
      <c r="P303" s="77"/>
      <c r="Q303" s="79"/>
      <c r="R303" s="77"/>
    </row>
    <row r="304">
      <c r="A304" s="77"/>
      <c r="B304" s="77"/>
      <c r="C304" s="77"/>
      <c r="D304" s="77"/>
      <c r="E304" s="77"/>
      <c r="F304" s="101"/>
      <c r="G304" s="77"/>
      <c r="H304" s="79"/>
      <c r="I304" s="77"/>
      <c r="J304" s="77"/>
      <c r="K304" s="79"/>
      <c r="L304" s="77"/>
      <c r="M304" s="77"/>
      <c r="N304" s="79"/>
      <c r="O304" s="77"/>
      <c r="P304" s="77"/>
      <c r="Q304" s="79"/>
      <c r="R304" s="77"/>
    </row>
    <row r="305">
      <c r="A305" s="77"/>
      <c r="B305" s="77"/>
      <c r="C305" s="77"/>
      <c r="D305" s="77"/>
      <c r="E305" s="77"/>
      <c r="F305" s="101"/>
      <c r="G305" s="77"/>
      <c r="H305" s="79"/>
      <c r="I305" s="77"/>
      <c r="J305" s="77"/>
      <c r="K305" s="79"/>
      <c r="L305" s="77"/>
      <c r="M305" s="77"/>
      <c r="N305" s="79"/>
      <c r="O305" s="77"/>
      <c r="P305" s="77"/>
      <c r="Q305" s="79"/>
      <c r="R305" s="77"/>
    </row>
    <row r="306">
      <c r="A306" s="77"/>
      <c r="B306" s="77"/>
      <c r="C306" s="77"/>
      <c r="D306" s="77"/>
      <c r="E306" s="77"/>
      <c r="F306" s="101"/>
      <c r="G306" s="77"/>
      <c r="H306" s="79"/>
      <c r="I306" s="77"/>
      <c r="J306" s="77"/>
      <c r="K306" s="79"/>
      <c r="L306" s="77"/>
      <c r="M306" s="77"/>
      <c r="N306" s="79"/>
      <c r="O306" s="77"/>
      <c r="P306" s="77"/>
      <c r="Q306" s="79"/>
      <c r="R306" s="77"/>
    </row>
    <row r="307">
      <c r="A307" s="77"/>
      <c r="B307" s="77"/>
      <c r="C307" s="77"/>
      <c r="D307" s="77"/>
      <c r="E307" s="77"/>
      <c r="F307" s="101"/>
      <c r="G307" s="77"/>
      <c r="H307" s="79"/>
      <c r="I307" s="77"/>
      <c r="J307" s="77"/>
      <c r="K307" s="79"/>
      <c r="L307" s="77"/>
      <c r="M307" s="77"/>
      <c r="N307" s="79"/>
      <c r="O307" s="77"/>
      <c r="P307" s="77"/>
      <c r="Q307" s="79"/>
      <c r="R307" s="77"/>
    </row>
    <row r="308">
      <c r="A308" s="77"/>
      <c r="B308" s="77"/>
      <c r="C308" s="77"/>
      <c r="D308" s="77"/>
      <c r="E308" s="77"/>
      <c r="F308" s="101"/>
      <c r="G308" s="77"/>
      <c r="H308" s="79"/>
      <c r="I308" s="77"/>
      <c r="J308" s="77"/>
      <c r="K308" s="79"/>
      <c r="L308" s="77"/>
      <c r="M308" s="77"/>
      <c r="N308" s="79"/>
      <c r="O308" s="77"/>
      <c r="P308" s="77"/>
      <c r="Q308" s="79"/>
      <c r="R308" s="77"/>
    </row>
    <row r="309">
      <c r="A309" s="77"/>
      <c r="B309" s="77"/>
      <c r="C309" s="77"/>
      <c r="D309" s="77"/>
      <c r="E309" s="77"/>
      <c r="F309" s="101"/>
      <c r="G309" s="77"/>
      <c r="H309" s="79"/>
      <c r="I309" s="77"/>
      <c r="J309" s="77"/>
      <c r="K309" s="79"/>
      <c r="L309" s="77"/>
      <c r="M309" s="77"/>
      <c r="N309" s="79"/>
      <c r="O309" s="77"/>
      <c r="P309" s="77"/>
      <c r="Q309" s="79"/>
      <c r="R309" s="77"/>
    </row>
    <row r="310">
      <c r="A310" s="77"/>
      <c r="B310" s="77"/>
      <c r="C310" s="77"/>
      <c r="D310" s="77"/>
      <c r="E310" s="77"/>
      <c r="F310" s="101"/>
      <c r="G310" s="77"/>
      <c r="H310" s="79"/>
      <c r="I310" s="77"/>
      <c r="J310" s="77"/>
      <c r="K310" s="79"/>
      <c r="L310" s="77"/>
      <c r="M310" s="77"/>
      <c r="N310" s="79"/>
      <c r="O310" s="77"/>
      <c r="P310" s="77"/>
      <c r="Q310" s="79"/>
      <c r="R310" s="77"/>
    </row>
    <row r="311">
      <c r="A311" s="77"/>
      <c r="B311" s="77"/>
      <c r="C311" s="77"/>
      <c r="D311" s="77"/>
      <c r="E311" s="77"/>
      <c r="F311" s="101"/>
      <c r="G311" s="77"/>
      <c r="H311" s="79"/>
      <c r="I311" s="77"/>
      <c r="J311" s="77"/>
      <c r="K311" s="79"/>
      <c r="L311" s="77"/>
      <c r="M311" s="77"/>
      <c r="N311" s="79"/>
      <c r="O311" s="77"/>
      <c r="P311" s="77"/>
      <c r="Q311" s="79"/>
      <c r="R311" s="77"/>
    </row>
    <row r="312">
      <c r="A312" s="77"/>
      <c r="B312" s="77"/>
      <c r="C312" s="77"/>
      <c r="D312" s="77"/>
      <c r="E312" s="77"/>
      <c r="F312" s="101"/>
      <c r="G312" s="77"/>
      <c r="H312" s="79"/>
      <c r="I312" s="77"/>
      <c r="J312" s="77"/>
      <c r="K312" s="79"/>
      <c r="L312" s="77"/>
      <c r="M312" s="77"/>
      <c r="N312" s="79"/>
      <c r="O312" s="77"/>
      <c r="P312" s="77"/>
      <c r="Q312" s="79"/>
      <c r="R312" s="77"/>
    </row>
    <row r="313">
      <c r="A313" s="77"/>
      <c r="B313" s="77"/>
      <c r="C313" s="77"/>
      <c r="D313" s="77"/>
      <c r="E313" s="77"/>
      <c r="F313" s="101"/>
      <c r="G313" s="77"/>
      <c r="H313" s="79"/>
      <c r="I313" s="77"/>
      <c r="J313" s="77"/>
      <c r="K313" s="79"/>
      <c r="L313" s="77"/>
      <c r="M313" s="77"/>
      <c r="N313" s="79"/>
      <c r="O313" s="77"/>
      <c r="P313" s="77"/>
      <c r="Q313" s="79"/>
      <c r="R313" s="77"/>
    </row>
    <row r="314">
      <c r="A314" s="77"/>
      <c r="B314" s="77"/>
      <c r="C314" s="77"/>
      <c r="D314" s="77"/>
      <c r="E314" s="77"/>
      <c r="F314" s="101"/>
      <c r="G314" s="77"/>
      <c r="H314" s="79"/>
      <c r="I314" s="77"/>
      <c r="J314" s="77"/>
      <c r="K314" s="79"/>
      <c r="L314" s="77"/>
      <c r="M314" s="77"/>
      <c r="N314" s="79"/>
      <c r="O314" s="77"/>
      <c r="P314" s="77"/>
      <c r="Q314" s="79"/>
      <c r="R314" s="77"/>
    </row>
    <row r="315">
      <c r="A315" s="77"/>
      <c r="B315" s="77"/>
      <c r="C315" s="77"/>
      <c r="D315" s="77"/>
      <c r="E315" s="77"/>
      <c r="F315" s="101"/>
      <c r="G315" s="77"/>
      <c r="H315" s="79"/>
      <c r="I315" s="77"/>
      <c r="J315" s="77"/>
      <c r="K315" s="79"/>
      <c r="L315" s="77"/>
      <c r="M315" s="77"/>
      <c r="N315" s="79"/>
      <c r="O315" s="77"/>
      <c r="P315" s="77"/>
      <c r="Q315" s="79"/>
      <c r="R315" s="77"/>
    </row>
    <row r="316">
      <c r="A316" s="77"/>
      <c r="B316" s="77"/>
      <c r="C316" s="77"/>
      <c r="D316" s="77"/>
      <c r="E316" s="77"/>
      <c r="F316" s="101"/>
      <c r="G316" s="77"/>
      <c r="H316" s="79"/>
      <c r="I316" s="77"/>
      <c r="J316" s="77"/>
      <c r="K316" s="79"/>
      <c r="L316" s="77"/>
      <c r="M316" s="77"/>
      <c r="N316" s="79"/>
      <c r="O316" s="77"/>
      <c r="P316" s="77"/>
      <c r="Q316" s="79"/>
      <c r="R316" s="77"/>
    </row>
    <row r="317">
      <c r="A317" s="77"/>
      <c r="B317" s="77"/>
      <c r="C317" s="77"/>
      <c r="D317" s="77"/>
      <c r="E317" s="77"/>
      <c r="F317" s="101"/>
      <c r="G317" s="77"/>
      <c r="H317" s="79"/>
      <c r="I317" s="77"/>
      <c r="J317" s="77"/>
      <c r="K317" s="79"/>
      <c r="L317" s="77"/>
      <c r="M317" s="77"/>
      <c r="N317" s="79"/>
      <c r="O317" s="77"/>
      <c r="P317" s="77"/>
      <c r="Q317" s="79"/>
      <c r="R317" s="77"/>
    </row>
    <row r="318">
      <c r="A318" s="77"/>
      <c r="B318" s="77"/>
      <c r="C318" s="77"/>
      <c r="D318" s="77"/>
      <c r="E318" s="77"/>
      <c r="F318" s="101"/>
      <c r="G318" s="77"/>
      <c r="H318" s="79"/>
      <c r="I318" s="77"/>
      <c r="J318" s="77"/>
      <c r="K318" s="79"/>
      <c r="L318" s="77"/>
      <c r="M318" s="77"/>
      <c r="N318" s="79"/>
      <c r="O318" s="77"/>
      <c r="P318" s="77"/>
      <c r="Q318" s="79"/>
      <c r="R318" s="77"/>
    </row>
    <row r="319">
      <c r="A319" s="77"/>
      <c r="B319" s="77"/>
      <c r="C319" s="77"/>
      <c r="D319" s="77"/>
      <c r="E319" s="77"/>
      <c r="F319" s="101"/>
      <c r="G319" s="77"/>
      <c r="H319" s="79"/>
      <c r="I319" s="77"/>
      <c r="J319" s="77"/>
      <c r="K319" s="79"/>
      <c r="L319" s="77"/>
      <c r="M319" s="77"/>
      <c r="N319" s="79"/>
      <c r="O319" s="77"/>
      <c r="P319" s="77"/>
      <c r="Q319" s="79"/>
      <c r="R319" s="77"/>
    </row>
    <row r="320">
      <c r="A320" s="77"/>
      <c r="B320" s="77"/>
      <c r="C320" s="77"/>
      <c r="D320" s="77"/>
      <c r="E320" s="77"/>
      <c r="F320" s="101"/>
      <c r="G320" s="77"/>
      <c r="H320" s="79"/>
      <c r="I320" s="77"/>
      <c r="J320" s="77"/>
      <c r="K320" s="79"/>
      <c r="L320" s="77"/>
      <c r="M320" s="77"/>
      <c r="N320" s="79"/>
      <c r="O320" s="77"/>
      <c r="P320" s="77"/>
      <c r="Q320" s="79"/>
      <c r="R320" s="77"/>
    </row>
    <row r="321">
      <c r="A321" s="77"/>
      <c r="B321" s="77"/>
      <c r="C321" s="77"/>
      <c r="D321" s="77"/>
      <c r="E321" s="77"/>
      <c r="F321" s="101"/>
      <c r="G321" s="77"/>
      <c r="H321" s="79"/>
      <c r="I321" s="77"/>
      <c r="J321" s="77"/>
      <c r="K321" s="79"/>
      <c r="L321" s="77"/>
      <c r="M321" s="77"/>
      <c r="N321" s="79"/>
      <c r="O321" s="77"/>
      <c r="P321" s="77"/>
      <c r="Q321" s="79"/>
      <c r="R321" s="77"/>
    </row>
    <row r="322">
      <c r="A322" s="77"/>
      <c r="B322" s="77"/>
      <c r="C322" s="77"/>
      <c r="D322" s="77"/>
      <c r="E322" s="77"/>
      <c r="F322" s="101"/>
      <c r="G322" s="77"/>
      <c r="H322" s="79"/>
      <c r="I322" s="77"/>
      <c r="J322" s="77"/>
      <c r="K322" s="79"/>
      <c r="L322" s="77"/>
      <c r="M322" s="77"/>
      <c r="N322" s="79"/>
      <c r="O322" s="77"/>
      <c r="P322" s="77"/>
      <c r="Q322" s="79"/>
      <c r="R322" s="77"/>
    </row>
    <row r="323">
      <c r="A323" s="77"/>
      <c r="B323" s="77"/>
      <c r="C323" s="77"/>
      <c r="D323" s="77"/>
      <c r="E323" s="77"/>
      <c r="F323" s="101"/>
      <c r="G323" s="77"/>
      <c r="H323" s="79"/>
      <c r="I323" s="77"/>
      <c r="J323" s="77"/>
      <c r="K323" s="79"/>
      <c r="L323" s="77"/>
      <c r="M323" s="77"/>
      <c r="N323" s="79"/>
      <c r="O323" s="77"/>
      <c r="P323" s="77"/>
      <c r="Q323" s="79"/>
      <c r="R323" s="77"/>
    </row>
    <row r="324">
      <c r="A324" s="77"/>
      <c r="B324" s="77"/>
      <c r="C324" s="77"/>
      <c r="D324" s="77"/>
      <c r="E324" s="77"/>
      <c r="F324" s="101"/>
      <c r="G324" s="77"/>
      <c r="H324" s="79"/>
      <c r="I324" s="77"/>
      <c r="J324" s="77"/>
      <c r="K324" s="79"/>
      <c r="L324" s="77"/>
      <c r="M324" s="77"/>
      <c r="N324" s="79"/>
      <c r="O324" s="77"/>
      <c r="P324" s="77"/>
      <c r="Q324" s="79"/>
      <c r="R324" s="77"/>
    </row>
    <row r="325">
      <c r="A325" s="77"/>
      <c r="B325" s="77"/>
      <c r="C325" s="77"/>
      <c r="D325" s="77"/>
      <c r="E325" s="77"/>
      <c r="F325" s="101"/>
      <c r="G325" s="77"/>
      <c r="H325" s="79"/>
      <c r="I325" s="77"/>
      <c r="J325" s="77"/>
      <c r="K325" s="79"/>
      <c r="L325" s="77"/>
      <c r="M325" s="77"/>
      <c r="N325" s="79"/>
      <c r="O325" s="77"/>
      <c r="P325" s="77"/>
      <c r="Q325" s="79"/>
      <c r="R325" s="77"/>
    </row>
    <row r="326">
      <c r="A326" s="77"/>
      <c r="B326" s="77"/>
      <c r="C326" s="77"/>
      <c r="D326" s="77"/>
      <c r="E326" s="77"/>
      <c r="F326" s="101"/>
      <c r="G326" s="77"/>
      <c r="H326" s="79"/>
      <c r="I326" s="77"/>
      <c r="J326" s="77"/>
      <c r="K326" s="79"/>
      <c r="L326" s="77"/>
      <c r="M326" s="77"/>
      <c r="N326" s="79"/>
      <c r="O326" s="77"/>
      <c r="P326" s="77"/>
      <c r="Q326" s="79"/>
      <c r="R326" s="77"/>
    </row>
    <row r="327">
      <c r="A327" s="77"/>
      <c r="B327" s="77"/>
      <c r="C327" s="77"/>
      <c r="D327" s="77"/>
      <c r="E327" s="77"/>
      <c r="F327" s="101"/>
      <c r="G327" s="77"/>
      <c r="H327" s="79"/>
      <c r="I327" s="77"/>
      <c r="J327" s="77"/>
      <c r="K327" s="79"/>
      <c r="L327" s="77"/>
      <c r="M327" s="77"/>
      <c r="N327" s="79"/>
      <c r="O327" s="77"/>
      <c r="P327" s="77"/>
      <c r="Q327" s="79"/>
      <c r="R327" s="77"/>
    </row>
    <row r="328">
      <c r="A328" s="77"/>
      <c r="B328" s="77"/>
      <c r="C328" s="77"/>
      <c r="D328" s="77"/>
      <c r="E328" s="77"/>
      <c r="F328" s="101"/>
      <c r="G328" s="77"/>
      <c r="H328" s="79"/>
      <c r="I328" s="77"/>
      <c r="J328" s="77"/>
      <c r="K328" s="79"/>
      <c r="L328" s="77"/>
      <c r="M328" s="77"/>
      <c r="N328" s="79"/>
      <c r="O328" s="77"/>
      <c r="P328" s="77"/>
      <c r="Q328" s="79"/>
      <c r="R328" s="77"/>
    </row>
    <row r="329">
      <c r="A329" s="77"/>
      <c r="B329" s="77"/>
      <c r="C329" s="77"/>
      <c r="D329" s="77"/>
      <c r="E329" s="77"/>
      <c r="F329" s="101"/>
      <c r="G329" s="77"/>
      <c r="H329" s="79"/>
      <c r="I329" s="77"/>
      <c r="J329" s="77"/>
      <c r="K329" s="79"/>
      <c r="L329" s="77"/>
      <c r="M329" s="77"/>
      <c r="N329" s="79"/>
      <c r="O329" s="77"/>
      <c r="P329" s="77"/>
      <c r="Q329" s="79"/>
      <c r="R329" s="77"/>
    </row>
    <row r="330">
      <c r="A330" s="77"/>
      <c r="B330" s="77"/>
      <c r="C330" s="77"/>
      <c r="D330" s="77"/>
      <c r="E330" s="77"/>
      <c r="F330" s="101"/>
      <c r="G330" s="77"/>
      <c r="H330" s="79"/>
      <c r="I330" s="77"/>
      <c r="J330" s="77"/>
      <c r="K330" s="79"/>
      <c r="L330" s="77"/>
      <c r="M330" s="77"/>
      <c r="N330" s="79"/>
      <c r="O330" s="77"/>
      <c r="P330" s="77"/>
      <c r="Q330" s="79"/>
      <c r="R330" s="77"/>
    </row>
    <row r="331">
      <c r="A331" s="77"/>
      <c r="B331" s="77"/>
      <c r="C331" s="77"/>
      <c r="D331" s="77"/>
      <c r="E331" s="77"/>
      <c r="F331" s="101"/>
      <c r="G331" s="77"/>
      <c r="H331" s="79"/>
      <c r="I331" s="77"/>
      <c r="J331" s="77"/>
      <c r="K331" s="79"/>
      <c r="L331" s="77"/>
      <c r="M331" s="77"/>
      <c r="N331" s="79"/>
      <c r="O331" s="77"/>
      <c r="P331" s="77"/>
      <c r="Q331" s="79"/>
      <c r="R331" s="77"/>
    </row>
    <row r="332">
      <c r="A332" s="77"/>
      <c r="B332" s="77"/>
      <c r="C332" s="77"/>
      <c r="D332" s="77"/>
      <c r="E332" s="77"/>
      <c r="F332" s="101"/>
      <c r="G332" s="77"/>
      <c r="H332" s="79"/>
      <c r="I332" s="77"/>
      <c r="J332" s="77"/>
      <c r="K332" s="79"/>
      <c r="L332" s="77"/>
      <c r="M332" s="77"/>
      <c r="N332" s="79"/>
      <c r="O332" s="77"/>
      <c r="P332" s="77"/>
      <c r="Q332" s="79"/>
      <c r="R332" s="77"/>
    </row>
    <row r="333">
      <c r="A333" s="77"/>
      <c r="B333" s="77"/>
      <c r="C333" s="77"/>
      <c r="D333" s="77"/>
      <c r="E333" s="77"/>
      <c r="F333" s="101"/>
      <c r="G333" s="77"/>
      <c r="H333" s="79"/>
      <c r="I333" s="77"/>
      <c r="J333" s="77"/>
      <c r="K333" s="79"/>
      <c r="L333" s="77"/>
      <c r="M333" s="77"/>
      <c r="N333" s="79"/>
      <c r="O333" s="77"/>
      <c r="P333" s="77"/>
      <c r="Q333" s="79"/>
      <c r="R333" s="77"/>
    </row>
    <row r="334">
      <c r="A334" s="77"/>
      <c r="B334" s="77"/>
      <c r="C334" s="77"/>
      <c r="D334" s="77"/>
      <c r="E334" s="77"/>
      <c r="F334" s="101"/>
      <c r="G334" s="77"/>
      <c r="H334" s="79"/>
      <c r="I334" s="77"/>
      <c r="J334" s="77"/>
      <c r="K334" s="79"/>
      <c r="L334" s="77"/>
      <c r="M334" s="77"/>
      <c r="N334" s="79"/>
      <c r="O334" s="77"/>
      <c r="P334" s="77"/>
      <c r="Q334" s="79"/>
      <c r="R334" s="77"/>
    </row>
    <row r="335">
      <c r="A335" s="77"/>
      <c r="B335" s="77"/>
      <c r="C335" s="77"/>
      <c r="D335" s="77"/>
      <c r="E335" s="77"/>
      <c r="F335" s="101"/>
      <c r="G335" s="77"/>
      <c r="H335" s="79"/>
      <c r="I335" s="77"/>
      <c r="J335" s="77"/>
      <c r="K335" s="79"/>
      <c r="L335" s="77"/>
      <c r="M335" s="77"/>
      <c r="N335" s="79"/>
      <c r="O335" s="77"/>
      <c r="P335" s="77"/>
      <c r="Q335" s="79"/>
      <c r="R335" s="77"/>
    </row>
    <row r="336">
      <c r="A336" s="77"/>
      <c r="B336" s="77"/>
      <c r="C336" s="77"/>
      <c r="D336" s="77"/>
      <c r="E336" s="77"/>
      <c r="F336" s="101"/>
      <c r="G336" s="77"/>
      <c r="H336" s="79"/>
      <c r="I336" s="77"/>
      <c r="J336" s="77"/>
      <c r="K336" s="79"/>
      <c r="L336" s="77"/>
      <c r="M336" s="77"/>
      <c r="N336" s="79"/>
      <c r="O336" s="77"/>
      <c r="P336" s="77"/>
      <c r="Q336" s="79"/>
      <c r="R336" s="77"/>
    </row>
    <row r="337">
      <c r="A337" s="77"/>
      <c r="B337" s="77"/>
      <c r="C337" s="77"/>
      <c r="D337" s="77"/>
      <c r="E337" s="77"/>
      <c r="F337" s="101"/>
      <c r="G337" s="77"/>
      <c r="H337" s="79"/>
      <c r="I337" s="77"/>
      <c r="J337" s="77"/>
      <c r="K337" s="79"/>
      <c r="L337" s="77"/>
      <c r="M337" s="77"/>
      <c r="N337" s="79"/>
      <c r="O337" s="77"/>
      <c r="P337" s="77"/>
      <c r="Q337" s="79"/>
      <c r="R337" s="77"/>
    </row>
    <row r="338">
      <c r="A338" s="77"/>
      <c r="B338" s="77"/>
      <c r="C338" s="77"/>
      <c r="D338" s="77"/>
      <c r="E338" s="77"/>
      <c r="F338" s="101"/>
      <c r="G338" s="77"/>
      <c r="H338" s="79"/>
      <c r="I338" s="77"/>
      <c r="J338" s="77"/>
      <c r="K338" s="79"/>
      <c r="L338" s="77"/>
      <c r="M338" s="77"/>
      <c r="N338" s="79"/>
      <c r="O338" s="77"/>
      <c r="P338" s="77"/>
      <c r="Q338" s="79"/>
      <c r="R338" s="77"/>
    </row>
    <row r="339">
      <c r="A339" s="77"/>
      <c r="B339" s="77"/>
      <c r="C339" s="77"/>
      <c r="D339" s="77"/>
      <c r="E339" s="77"/>
      <c r="F339" s="101"/>
      <c r="G339" s="77"/>
      <c r="H339" s="79"/>
      <c r="I339" s="77"/>
      <c r="J339" s="77"/>
      <c r="K339" s="79"/>
      <c r="L339" s="77"/>
      <c r="M339" s="77"/>
      <c r="N339" s="79"/>
      <c r="O339" s="77"/>
      <c r="P339" s="77"/>
      <c r="Q339" s="79"/>
      <c r="R339" s="77"/>
    </row>
    <row r="340">
      <c r="A340" s="77"/>
      <c r="B340" s="77"/>
      <c r="C340" s="77"/>
      <c r="D340" s="77"/>
      <c r="E340" s="77"/>
      <c r="F340" s="101"/>
      <c r="G340" s="77"/>
      <c r="H340" s="79"/>
      <c r="I340" s="77"/>
      <c r="J340" s="77"/>
      <c r="K340" s="79"/>
      <c r="L340" s="77"/>
      <c r="M340" s="77"/>
      <c r="N340" s="79"/>
      <c r="O340" s="77"/>
      <c r="P340" s="77"/>
      <c r="Q340" s="79"/>
      <c r="R340" s="77"/>
    </row>
    <row r="341">
      <c r="A341" s="77"/>
      <c r="B341" s="77"/>
      <c r="C341" s="77"/>
      <c r="D341" s="77"/>
      <c r="E341" s="77"/>
      <c r="F341" s="101"/>
      <c r="G341" s="77"/>
      <c r="H341" s="79"/>
      <c r="I341" s="77"/>
      <c r="J341" s="77"/>
      <c r="K341" s="79"/>
      <c r="L341" s="77"/>
      <c r="M341" s="77"/>
      <c r="N341" s="79"/>
      <c r="O341" s="77"/>
      <c r="P341" s="77"/>
      <c r="Q341" s="79"/>
      <c r="R341" s="77"/>
    </row>
    <row r="342">
      <c r="A342" s="77"/>
      <c r="B342" s="77"/>
      <c r="C342" s="77"/>
      <c r="D342" s="77"/>
      <c r="E342" s="77"/>
      <c r="F342" s="101"/>
      <c r="G342" s="77"/>
      <c r="H342" s="79"/>
      <c r="I342" s="77"/>
      <c r="J342" s="77"/>
      <c r="K342" s="79"/>
      <c r="L342" s="77"/>
      <c r="M342" s="77"/>
      <c r="N342" s="79"/>
      <c r="O342" s="77"/>
      <c r="P342" s="77"/>
      <c r="Q342" s="79"/>
      <c r="R342" s="77"/>
    </row>
    <row r="343">
      <c r="A343" s="77"/>
      <c r="B343" s="77"/>
      <c r="C343" s="77"/>
      <c r="D343" s="77"/>
      <c r="E343" s="77"/>
      <c r="F343" s="101"/>
      <c r="G343" s="77"/>
      <c r="H343" s="79"/>
      <c r="I343" s="77"/>
      <c r="J343" s="77"/>
      <c r="K343" s="79"/>
      <c r="L343" s="77"/>
      <c r="M343" s="77"/>
      <c r="N343" s="79"/>
      <c r="O343" s="77"/>
      <c r="P343" s="77"/>
      <c r="Q343" s="79"/>
      <c r="R343" s="77"/>
    </row>
    <row r="344">
      <c r="A344" s="77"/>
      <c r="B344" s="77"/>
      <c r="C344" s="77"/>
      <c r="D344" s="77"/>
      <c r="E344" s="77"/>
      <c r="F344" s="101"/>
      <c r="G344" s="77"/>
      <c r="H344" s="79"/>
      <c r="I344" s="77"/>
      <c r="J344" s="77"/>
      <c r="K344" s="79"/>
      <c r="L344" s="77"/>
      <c r="M344" s="77"/>
      <c r="N344" s="79"/>
      <c r="O344" s="77"/>
      <c r="P344" s="77"/>
      <c r="Q344" s="79"/>
      <c r="R344" s="77"/>
    </row>
    <row r="345">
      <c r="A345" s="77"/>
      <c r="B345" s="77"/>
      <c r="C345" s="77"/>
      <c r="D345" s="77"/>
      <c r="E345" s="77"/>
      <c r="F345" s="101"/>
      <c r="G345" s="77"/>
      <c r="H345" s="79"/>
      <c r="I345" s="77"/>
      <c r="J345" s="77"/>
      <c r="K345" s="79"/>
      <c r="L345" s="77"/>
      <c r="M345" s="77"/>
      <c r="N345" s="79"/>
      <c r="O345" s="77"/>
      <c r="P345" s="77"/>
      <c r="Q345" s="79"/>
      <c r="R345" s="77"/>
    </row>
    <row r="346">
      <c r="A346" s="77"/>
      <c r="B346" s="77"/>
      <c r="C346" s="77"/>
      <c r="D346" s="77"/>
      <c r="E346" s="77"/>
      <c r="F346" s="101"/>
      <c r="G346" s="77"/>
      <c r="H346" s="79"/>
      <c r="I346" s="77"/>
      <c r="J346" s="77"/>
      <c r="K346" s="79"/>
      <c r="L346" s="77"/>
      <c r="M346" s="77"/>
      <c r="N346" s="79"/>
      <c r="O346" s="77"/>
      <c r="P346" s="77"/>
      <c r="Q346" s="79"/>
      <c r="R346" s="77"/>
    </row>
    <row r="347">
      <c r="A347" s="77"/>
      <c r="B347" s="77"/>
      <c r="C347" s="77"/>
      <c r="D347" s="77"/>
      <c r="E347" s="77"/>
      <c r="F347" s="101"/>
      <c r="G347" s="77"/>
      <c r="H347" s="79"/>
      <c r="I347" s="77"/>
      <c r="J347" s="77"/>
      <c r="K347" s="79"/>
      <c r="L347" s="77"/>
      <c r="M347" s="77"/>
      <c r="N347" s="79"/>
      <c r="O347" s="77"/>
      <c r="P347" s="77"/>
      <c r="Q347" s="79"/>
      <c r="R347" s="77"/>
    </row>
    <row r="348">
      <c r="A348" s="77"/>
      <c r="B348" s="77"/>
      <c r="C348" s="77"/>
      <c r="D348" s="77"/>
      <c r="E348" s="77"/>
      <c r="F348" s="101"/>
      <c r="G348" s="77"/>
      <c r="H348" s="79"/>
      <c r="I348" s="77"/>
      <c r="J348" s="77"/>
      <c r="K348" s="79"/>
      <c r="L348" s="77"/>
      <c r="M348" s="77"/>
      <c r="N348" s="79"/>
      <c r="O348" s="77"/>
      <c r="P348" s="77"/>
      <c r="Q348" s="79"/>
      <c r="R348" s="77"/>
    </row>
    <row r="349">
      <c r="A349" s="77"/>
      <c r="B349" s="77"/>
      <c r="C349" s="77"/>
      <c r="D349" s="77"/>
      <c r="E349" s="77"/>
      <c r="F349" s="101"/>
      <c r="G349" s="77"/>
      <c r="H349" s="79"/>
      <c r="I349" s="77"/>
      <c r="J349" s="77"/>
      <c r="K349" s="79"/>
      <c r="L349" s="77"/>
      <c r="M349" s="77"/>
      <c r="N349" s="79"/>
      <c r="O349" s="77"/>
      <c r="P349" s="77"/>
      <c r="Q349" s="79"/>
      <c r="R349" s="77"/>
    </row>
    <row r="350">
      <c r="A350" s="77"/>
      <c r="B350" s="77"/>
      <c r="C350" s="77"/>
      <c r="D350" s="77"/>
      <c r="E350" s="77"/>
      <c r="F350" s="101"/>
      <c r="G350" s="77"/>
      <c r="H350" s="79"/>
      <c r="I350" s="77"/>
      <c r="J350" s="77"/>
      <c r="K350" s="79"/>
      <c r="L350" s="77"/>
      <c r="M350" s="77"/>
      <c r="N350" s="79"/>
      <c r="O350" s="77"/>
      <c r="P350" s="77"/>
      <c r="Q350" s="79"/>
      <c r="R350" s="77"/>
    </row>
    <row r="351">
      <c r="A351" s="77"/>
      <c r="B351" s="77"/>
      <c r="C351" s="77"/>
      <c r="D351" s="77"/>
      <c r="E351" s="77"/>
      <c r="F351" s="101"/>
      <c r="G351" s="77"/>
      <c r="H351" s="79"/>
      <c r="I351" s="77"/>
      <c r="J351" s="77"/>
      <c r="K351" s="79"/>
      <c r="L351" s="77"/>
      <c r="M351" s="77"/>
      <c r="N351" s="79"/>
      <c r="O351" s="77"/>
      <c r="P351" s="77"/>
      <c r="Q351" s="79"/>
      <c r="R351" s="77"/>
    </row>
    <row r="352">
      <c r="A352" s="77"/>
      <c r="B352" s="77"/>
      <c r="C352" s="77"/>
      <c r="D352" s="77"/>
      <c r="E352" s="77"/>
      <c r="F352" s="101"/>
      <c r="G352" s="77"/>
      <c r="H352" s="79"/>
      <c r="I352" s="77"/>
      <c r="J352" s="77"/>
      <c r="K352" s="79"/>
      <c r="L352" s="77"/>
      <c r="M352" s="77"/>
      <c r="N352" s="79"/>
      <c r="O352" s="77"/>
      <c r="P352" s="77"/>
      <c r="Q352" s="79"/>
      <c r="R352" s="77"/>
    </row>
    <row r="353">
      <c r="A353" s="77"/>
      <c r="B353" s="77"/>
      <c r="C353" s="77"/>
      <c r="D353" s="77"/>
      <c r="E353" s="77"/>
      <c r="F353" s="101"/>
      <c r="G353" s="77"/>
      <c r="H353" s="79"/>
      <c r="I353" s="77"/>
      <c r="J353" s="77"/>
      <c r="K353" s="79"/>
      <c r="L353" s="77"/>
      <c r="M353" s="77"/>
      <c r="N353" s="79"/>
      <c r="O353" s="77"/>
      <c r="P353" s="77"/>
      <c r="Q353" s="79"/>
      <c r="R353" s="77"/>
    </row>
    <row r="354">
      <c r="A354" s="77"/>
      <c r="B354" s="77"/>
      <c r="C354" s="77"/>
      <c r="D354" s="77"/>
      <c r="E354" s="77"/>
      <c r="F354" s="101"/>
      <c r="G354" s="77"/>
      <c r="H354" s="79"/>
      <c r="I354" s="77"/>
      <c r="J354" s="77"/>
      <c r="K354" s="79"/>
      <c r="L354" s="77"/>
      <c r="M354" s="77"/>
      <c r="N354" s="79"/>
      <c r="O354" s="77"/>
      <c r="P354" s="77"/>
      <c r="Q354" s="79"/>
      <c r="R354" s="77"/>
    </row>
    <row r="355">
      <c r="A355" s="77"/>
      <c r="B355" s="77"/>
      <c r="C355" s="77"/>
      <c r="D355" s="77"/>
      <c r="E355" s="77"/>
      <c r="F355" s="101"/>
      <c r="G355" s="77"/>
      <c r="H355" s="79"/>
      <c r="I355" s="77"/>
      <c r="J355" s="77"/>
      <c r="K355" s="79"/>
      <c r="L355" s="77"/>
      <c r="M355" s="77"/>
      <c r="N355" s="79"/>
      <c r="O355" s="77"/>
      <c r="P355" s="77"/>
      <c r="Q355" s="79"/>
      <c r="R355" s="77"/>
    </row>
    <row r="356">
      <c r="A356" s="77"/>
      <c r="B356" s="77"/>
      <c r="C356" s="77"/>
      <c r="D356" s="77"/>
      <c r="E356" s="77"/>
      <c r="F356" s="101"/>
      <c r="G356" s="77"/>
      <c r="H356" s="79"/>
      <c r="I356" s="77"/>
      <c r="J356" s="77"/>
      <c r="K356" s="79"/>
      <c r="L356" s="77"/>
      <c r="M356" s="77"/>
      <c r="N356" s="79"/>
      <c r="O356" s="77"/>
      <c r="P356" s="77"/>
      <c r="Q356" s="79"/>
      <c r="R356" s="77"/>
    </row>
    <row r="357">
      <c r="A357" s="77"/>
      <c r="B357" s="77"/>
      <c r="C357" s="77"/>
      <c r="D357" s="77"/>
      <c r="E357" s="77"/>
      <c r="F357" s="101"/>
      <c r="G357" s="77"/>
      <c r="H357" s="79"/>
      <c r="I357" s="77"/>
      <c r="J357" s="77"/>
      <c r="K357" s="79"/>
      <c r="L357" s="77"/>
      <c r="M357" s="77"/>
      <c r="N357" s="79"/>
      <c r="O357" s="77"/>
      <c r="P357" s="77"/>
      <c r="Q357" s="79"/>
      <c r="R357" s="77"/>
    </row>
    <row r="358">
      <c r="A358" s="77"/>
      <c r="B358" s="77"/>
      <c r="C358" s="77"/>
      <c r="D358" s="77"/>
      <c r="E358" s="77"/>
      <c r="F358" s="101"/>
      <c r="G358" s="77"/>
      <c r="H358" s="79"/>
      <c r="I358" s="77"/>
      <c r="J358" s="77"/>
      <c r="K358" s="79"/>
      <c r="L358" s="77"/>
      <c r="M358" s="77"/>
      <c r="N358" s="79"/>
      <c r="O358" s="77"/>
      <c r="P358" s="77"/>
      <c r="Q358" s="79"/>
      <c r="R358" s="77"/>
    </row>
    <row r="359">
      <c r="A359" s="77"/>
      <c r="B359" s="77"/>
      <c r="C359" s="77"/>
      <c r="D359" s="77"/>
      <c r="E359" s="77"/>
      <c r="F359" s="101"/>
      <c r="G359" s="77"/>
      <c r="H359" s="79"/>
      <c r="I359" s="77"/>
      <c r="J359" s="77"/>
      <c r="K359" s="79"/>
      <c r="L359" s="77"/>
      <c r="M359" s="77"/>
      <c r="N359" s="79"/>
      <c r="O359" s="77"/>
      <c r="P359" s="77"/>
      <c r="Q359" s="79"/>
      <c r="R359" s="77"/>
    </row>
    <row r="360">
      <c r="A360" s="77"/>
      <c r="B360" s="77"/>
      <c r="C360" s="77"/>
      <c r="D360" s="77"/>
      <c r="E360" s="77"/>
      <c r="F360" s="101"/>
      <c r="G360" s="77"/>
      <c r="H360" s="79"/>
      <c r="I360" s="77"/>
      <c r="J360" s="77"/>
      <c r="K360" s="79"/>
      <c r="L360" s="77"/>
      <c r="M360" s="77"/>
      <c r="N360" s="79"/>
      <c r="O360" s="77"/>
      <c r="P360" s="77"/>
      <c r="Q360" s="79"/>
      <c r="R360" s="77"/>
    </row>
    <row r="361">
      <c r="A361" s="77"/>
      <c r="B361" s="77"/>
      <c r="C361" s="77"/>
      <c r="D361" s="77"/>
      <c r="E361" s="77"/>
      <c r="F361" s="101"/>
      <c r="G361" s="77"/>
      <c r="H361" s="79"/>
      <c r="I361" s="77"/>
      <c r="J361" s="77"/>
      <c r="K361" s="79"/>
      <c r="L361" s="77"/>
      <c r="M361" s="77"/>
      <c r="N361" s="79"/>
      <c r="O361" s="77"/>
      <c r="P361" s="77"/>
      <c r="Q361" s="79"/>
      <c r="R361" s="77"/>
    </row>
    <row r="362">
      <c r="A362" s="77"/>
      <c r="B362" s="77"/>
      <c r="C362" s="77"/>
      <c r="D362" s="77"/>
      <c r="E362" s="77"/>
      <c r="F362" s="101"/>
      <c r="G362" s="77"/>
      <c r="H362" s="79"/>
      <c r="I362" s="77"/>
      <c r="J362" s="77"/>
      <c r="K362" s="79"/>
      <c r="L362" s="77"/>
      <c r="M362" s="77"/>
      <c r="N362" s="79"/>
      <c r="O362" s="77"/>
      <c r="P362" s="77"/>
      <c r="Q362" s="79"/>
      <c r="R362" s="77"/>
    </row>
    <row r="363">
      <c r="A363" s="77"/>
      <c r="B363" s="77"/>
      <c r="C363" s="77"/>
      <c r="D363" s="77"/>
      <c r="E363" s="77"/>
      <c r="F363" s="101"/>
      <c r="G363" s="77"/>
      <c r="H363" s="79"/>
      <c r="I363" s="77"/>
      <c r="J363" s="77"/>
      <c r="K363" s="79"/>
      <c r="L363" s="77"/>
      <c r="M363" s="77"/>
      <c r="N363" s="79"/>
      <c r="O363" s="77"/>
      <c r="P363" s="77"/>
      <c r="Q363" s="79"/>
      <c r="R363" s="77"/>
    </row>
    <row r="364">
      <c r="A364" s="77"/>
      <c r="B364" s="77"/>
      <c r="C364" s="77"/>
      <c r="D364" s="77"/>
      <c r="E364" s="77"/>
      <c r="F364" s="101"/>
      <c r="G364" s="77"/>
      <c r="H364" s="79"/>
      <c r="I364" s="77"/>
      <c r="J364" s="77"/>
      <c r="K364" s="79"/>
      <c r="L364" s="77"/>
      <c r="M364" s="77"/>
      <c r="N364" s="79"/>
      <c r="O364" s="77"/>
      <c r="P364" s="77"/>
      <c r="Q364" s="79"/>
      <c r="R364" s="77"/>
    </row>
    <row r="365">
      <c r="A365" s="77"/>
      <c r="B365" s="77"/>
      <c r="C365" s="77"/>
      <c r="D365" s="77"/>
      <c r="E365" s="77"/>
      <c r="F365" s="101"/>
      <c r="G365" s="77"/>
      <c r="H365" s="79"/>
      <c r="I365" s="77"/>
      <c r="J365" s="77"/>
      <c r="K365" s="79"/>
      <c r="L365" s="77"/>
      <c r="M365" s="77"/>
      <c r="N365" s="79"/>
      <c r="O365" s="77"/>
      <c r="P365" s="77"/>
      <c r="Q365" s="79"/>
      <c r="R365" s="77"/>
    </row>
    <row r="366">
      <c r="A366" s="77"/>
      <c r="B366" s="77"/>
      <c r="C366" s="77"/>
      <c r="D366" s="77"/>
      <c r="E366" s="77"/>
      <c r="F366" s="101"/>
      <c r="G366" s="77"/>
      <c r="H366" s="79"/>
      <c r="I366" s="77"/>
      <c r="J366" s="77"/>
      <c r="K366" s="79"/>
      <c r="L366" s="77"/>
      <c r="M366" s="77"/>
      <c r="N366" s="79"/>
      <c r="O366" s="77"/>
      <c r="P366" s="77"/>
      <c r="Q366" s="79"/>
      <c r="R366" s="77"/>
    </row>
    <row r="367">
      <c r="A367" s="77"/>
      <c r="B367" s="77"/>
      <c r="C367" s="77"/>
      <c r="D367" s="77"/>
      <c r="E367" s="77"/>
      <c r="F367" s="101"/>
      <c r="G367" s="77"/>
      <c r="H367" s="79"/>
      <c r="I367" s="77"/>
      <c r="J367" s="77"/>
      <c r="K367" s="79"/>
      <c r="L367" s="77"/>
      <c r="M367" s="77"/>
      <c r="N367" s="79"/>
      <c r="O367" s="77"/>
      <c r="P367" s="77"/>
      <c r="Q367" s="79"/>
      <c r="R367" s="77"/>
    </row>
    <row r="368">
      <c r="A368" s="77"/>
      <c r="B368" s="77"/>
      <c r="C368" s="77"/>
      <c r="D368" s="77"/>
      <c r="E368" s="77"/>
      <c r="F368" s="101"/>
      <c r="G368" s="77"/>
      <c r="H368" s="79"/>
      <c r="I368" s="77"/>
      <c r="J368" s="77"/>
      <c r="K368" s="79"/>
      <c r="L368" s="77"/>
      <c r="M368" s="77"/>
      <c r="N368" s="79"/>
      <c r="O368" s="77"/>
      <c r="P368" s="77"/>
      <c r="Q368" s="79"/>
      <c r="R368" s="77"/>
    </row>
    <row r="369">
      <c r="A369" s="77"/>
      <c r="B369" s="77"/>
      <c r="C369" s="77"/>
      <c r="D369" s="77"/>
      <c r="E369" s="77"/>
      <c r="F369" s="101"/>
      <c r="G369" s="77"/>
      <c r="H369" s="79"/>
      <c r="I369" s="77"/>
      <c r="J369" s="77"/>
      <c r="K369" s="79"/>
      <c r="L369" s="77"/>
      <c r="M369" s="77"/>
      <c r="N369" s="79"/>
      <c r="O369" s="77"/>
      <c r="P369" s="77"/>
      <c r="Q369" s="79"/>
      <c r="R369" s="77"/>
    </row>
    <row r="370">
      <c r="A370" s="77"/>
      <c r="B370" s="77"/>
      <c r="C370" s="77"/>
      <c r="D370" s="77"/>
      <c r="E370" s="77"/>
      <c r="F370" s="101"/>
      <c r="G370" s="77"/>
      <c r="H370" s="79"/>
      <c r="I370" s="77"/>
      <c r="J370" s="77"/>
      <c r="K370" s="79"/>
      <c r="L370" s="77"/>
      <c r="M370" s="77"/>
      <c r="N370" s="79"/>
      <c r="O370" s="77"/>
      <c r="P370" s="77"/>
      <c r="Q370" s="79"/>
      <c r="R370" s="77"/>
    </row>
    <row r="371">
      <c r="A371" s="77"/>
      <c r="B371" s="77"/>
      <c r="C371" s="77"/>
      <c r="D371" s="77"/>
      <c r="E371" s="77"/>
      <c r="F371" s="101"/>
      <c r="G371" s="77"/>
      <c r="H371" s="79"/>
      <c r="I371" s="77"/>
      <c r="J371" s="77"/>
      <c r="K371" s="79"/>
      <c r="L371" s="77"/>
      <c r="M371" s="77"/>
      <c r="N371" s="79"/>
      <c r="O371" s="77"/>
      <c r="P371" s="77"/>
      <c r="Q371" s="79"/>
      <c r="R371" s="77"/>
    </row>
    <row r="372">
      <c r="A372" s="77"/>
      <c r="B372" s="77"/>
      <c r="C372" s="77"/>
      <c r="D372" s="77"/>
      <c r="E372" s="77"/>
      <c r="F372" s="101"/>
      <c r="G372" s="77"/>
      <c r="H372" s="79"/>
      <c r="I372" s="77"/>
      <c r="J372" s="77"/>
      <c r="K372" s="79"/>
      <c r="L372" s="77"/>
      <c r="M372" s="77"/>
      <c r="N372" s="79"/>
      <c r="O372" s="77"/>
      <c r="P372" s="77"/>
      <c r="Q372" s="79"/>
      <c r="R372" s="77"/>
    </row>
    <row r="373">
      <c r="A373" s="77"/>
      <c r="B373" s="77"/>
      <c r="C373" s="77"/>
      <c r="D373" s="77"/>
      <c r="E373" s="77"/>
      <c r="F373" s="101"/>
      <c r="G373" s="77"/>
      <c r="H373" s="79"/>
      <c r="I373" s="77"/>
      <c r="J373" s="77"/>
      <c r="K373" s="79"/>
      <c r="L373" s="77"/>
      <c r="M373" s="77"/>
      <c r="N373" s="79"/>
      <c r="O373" s="77"/>
      <c r="P373" s="77"/>
      <c r="Q373" s="79"/>
      <c r="R373" s="77"/>
    </row>
    <row r="374">
      <c r="A374" s="77"/>
      <c r="B374" s="77"/>
      <c r="C374" s="77"/>
      <c r="D374" s="77"/>
      <c r="E374" s="77"/>
      <c r="F374" s="101"/>
      <c r="G374" s="77"/>
      <c r="H374" s="79"/>
      <c r="I374" s="77"/>
      <c r="J374" s="77"/>
      <c r="K374" s="79"/>
      <c r="L374" s="77"/>
      <c r="M374" s="77"/>
      <c r="N374" s="79"/>
      <c r="O374" s="77"/>
      <c r="P374" s="77"/>
      <c r="Q374" s="79"/>
      <c r="R374" s="77"/>
    </row>
    <row r="375">
      <c r="A375" s="77"/>
      <c r="B375" s="77"/>
      <c r="C375" s="77"/>
      <c r="D375" s="77"/>
      <c r="E375" s="77"/>
      <c r="F375" s="101"/>
      <c r="G375" s="77"/>
      <c r="H375" s="79"/>
      <c r="I375" s="77"/>
      <c r="J375" s="77"/>
      <c r="K375" s="79"/>
      <c r="L375" s="77"/>
      <c r="M375" s="77"/>
      <c r="N375" s="79"/>
      <c r="O375" s="77"/>
      <c r="P375" s="77"/>
      <c r="Q375" s="79"/>
      <c r="R375" s="77"/>
    </row>
    <row r="376">
      <c r="A376" s="77"/>
      <c r="B376" s="77"/>
      <c r="C376" s="77"/>
      <c r="D376" s="77"/>
      <c r="E376" s="77"/>
      <c r="F376" s="101"/>
      <c r="G376" s="77"/>
      <c r="H376" s="79"/>
      <c r="I376" s="77"/>
      <c r="J376" s="77"/>
      <c r="K376" s="79"/>
      <c r="L376" s="77"/>
      <c r="M376" s="77"/>
      <c r="N376" s="79"/>
      <c r="O376" s="77"/>
      <c r="P376" s="77"/>
      <c r="Q376" s="79"/>
      <c r="R376" s="77"/>
    </row>
    <row r="377">
      <c r="A377" s="77"/>
      <c r="B377" s="77"/>
      <c r="C377" s="77"/>
      <c r="D377" s="77"/>
      <c r="E377" s="77"/>
      <c r="F377" s="101"/>
      <c r="G377" s="77"/>
      <c r="H377" s="79"/>
      <c r="I377" s="77"/>
      <c r="J377" s="77"/>
      <c r="K377" s="79"/>
      <c r="L377" s="77"/>
      <c r="M377" s="77"/>
      <c r="N377" s="79"/>
      <c r="O377" s="77"/>
      <c r="P377" s="77"/>
      <c r="Q377" s="79"/>
      <c r="R377" s="77"/>
    </row>
    <row r="378">
      <c r="A378" s="77"/>
      <c r="B378" s="77"/>
      <c r="C378" s="77"/>
      <c r="D378" s="77"/>
      <c r="E378" s="77"/>
      <c r="F378" s="101"/>
      <c r="G378" s="77"/>
      <c r="H378" s="79"/>
      <c r="I378" s="77"/>
      <c r="J378" s="77"/>
      <c r="K378" s="79"/>
      <c r="L378" s="77"/>
      <c r="M378" s="77"/>
      <c r="N378" s="79"/>
      <c r="O378" s="77"/>
      <c r="P378" s="77"/>
      <c r="Q378" s="79"/>
      <c r="R378" s="77"/>
    </row>
    <row r="379">
      <c r="A379" s="77"/>
      <c r="B379" s="77"/>
      <c r="C379" s="77"/>
      <c r="D379" s="77"/>
      <c r="E379" s="77"/>
      <c r="F379" s="101"/>
      <c r="G379" s="77"/>
      <c r="H379" s="79"/>
      <c r="I379" s="77"/>
      <c r="J379" s="77"/>
      <c r="K379" s="79"/>
      <c r="L379" s="77"/>
      <c r="M379" s="77"/>
      <c r="N379" s="79"/>
      <c r="O379" s="77"/>
      <c r="P379" s="77"/>
      <c r="Q379" s="79"/>
      <c r="R379" s="77"/>
    </row>
    <row r="380">
      <c r="A380" s="77"/>
      <c r="B380" s="77"/>
      <c r="C380" s="77"/>
      <c r="D380" s="77"/>
      <c r="E380" s="77"/>
      <c r="F380" s="101"/>
      <c r="G380" s="77"/>
      <c r="H380" s="79"/>
      <c r="I380" s="77"/>
      <c r="J380" s="77"/>
      <c r="K380" s="79"/>
      <c r="L380" s="77"/>
      <c r="M380" s="77"/>
      <c r="N380" s="79"/>
      <c r="O380" s="77"/>
      <c r="P380" s="77"/>
      <c r="Q380" s="79"/>
      <c r="R380" s="77"/>
    </row>
    <row r="381">
      <c r="A381" s="77"/>
      <c r="B381" s="77"/>
      <c r="C381" s="77"/>
      <c r="D381" s="77"/>
      <c r="E381" s="77"/>
      <c r="F381" s="101"/>
      <c r="G381" s="77"/>
      <c r="H381" s="79"/>
      <c r="I381" s="77"/>
      <c r="J381" s="77"/>
      <c r="K381" s="79"/>
      <c r="L381" s="77"/>
      <c r="M381" s="77"/>
      <c r="N381" s="79"/>
      <c r="O381" s="77"/>
      <c r="P381" s="77"/>
      <c r="Q381" s="79"/>
      <c r="R381" s="77"/>
    </row>
    <row r="382">
      <c r="A382" s="77"/>
      <c r="B382" s="77"/>
      <c r="C382" s="77"/>
      <c r="D382" s="77"/>
      <c r="E382" s="77"/>
      <c r="F382" s="101"/>
      <c r="G382" s="77"/>
      <c r="H382" s="79"/>
      <c r="I382" s="77"/>
      <c r="J382" s="77"/>
      <c r="K382" s="79"/>
      <c r="L382" s="77"/>
      <c r="M382" s="77"/>
      <c r="N382" s="79"/>
      <c r="O382" s="77"/>
      <c r="P382" s="77"/>
      <c r="Q382" s="79"/>
      <c r="R382" s="77"/>
    </row>
    <row r="383">
      <c r="A383" s="77"/>
      <c r="B383" s="77"/>
      <c r="C383" s="77"/>
      <c r="D383" s="77"/>
      <c r="E383" s="77"/>
      <c r="F383" s="101"/>
      <c r="G383" s="77"/>
      <c r="H383" s="79"/>
      <c r="I383" s="77"/>
      <c r="J383" s="77"/>
      <c r="K383" s="79"/>
      <c r="L383" s="77"/>
      <c r="M383" s="77"/>
      <c r="N383" s="79"/>
      <c r="O383" s="77"/>
      <c r="P383" s="77"/>
      <c r="Q383" s="79"/>
      <c r="R383" s="77"/>
    </row>
    <row r="384">
      <c r="A384" s="77"/>
      <c r="B384" s="77"/>
      <c r="C384" s="77"/>
      <c r="D384" s="77"/>
      <c r="E384" s="77"/>
      <c r="F384" s="101"/>
      <c r="G384" s="77"/>
      <c r="H384" s="79"/>
      <c r="I384" s="77"/>
      <c r="J384" s="77"/>
      <c r="K384" s="79"/>
      <c r="L384" s="77"/>
      <c r="M384" s="77"/>
      <c r="N384" s="79"/>
      <c r="O384" s="77"/>
      <c r="P384" s="77"/>
      <c r="Q384" s="79"/>
      <c r="R384" s="77"/>
    </row>
    <row r="385">
      <c r="A385" s="77"/>
      <c r="B385" s="77"/>
      <c r="C385" s="77"/>
      <c r="D385" s="77"/>
      <c r="E385" s="77"/>
      <c r="F385" s="101"/>
      <c r="G385" s="77"/>
      <c r="H385" s="79"/>
      <c r="I385" s="77"/>
      <c r="J385" s="77"/>
      <c r="K385" s="79"/>
      <c r="L385" s="77"/>
      <c r="M385" s="77"/>
      <c r="N385" s="79"/>
      <c r="O385" s="77"/>
      <c r="P385" s="77"/>
      <c r="Q385" s="79"/>
      <c r="R385" s="77"/>
    </row>
    <row r="386">
      <c r="A386" s="77"/>
      <c r="B386" s="77"/>
      <c r="C386" s="77"/>
      <c r="D386" s="77"/>
      <c r="E386" s="77"/>
      <c r="F386" s="101"/>
      <c r="G386" s="77"/>
      <c r="H386" s="79"/>
      <c r="I386" s="77"/>
      <c r="J386" s="77"/>
      <c r="K386" s="79"/>
      <c r="L386" s="77"/>
      <c r="M386" s="77"/>
      <c r="N386" s="79"/>
      <c r="O386" s="77"/>
      <c r="P386" s="77"/>
      <c r="Q386" s="79"/>
      <c r="R386" s="77"/>
    </row>
    <row r="387">
      <c r="A387" s="77"/>
      <c r="B387" s="77"/>
      <c r="C387" s="77"/>
      <c r="D387" s="77"/>
      <c r="E387" s="77"/>
      <c r="F387" s="101"/>
      <c r="G387" s="77"/>
      <c r="H387" s="79"/>
      <c r="I387" s="77"/>
      <c r="J387" s="77"/>
      <c r="K387" s="79"/>
      <c r="L387" s="77"/>
      <c r="M387" s="77"/>
      <c r="N387" s="79"/>
      <c r="O387" s="77"/>
      <c r="P387" s="77"/>
      <c r="Q387" s="79"/>
      <c r="R387" s="77"/>
    </row>
    <row r="388">
      <c r="A388" s="77"/>
      <c r="B388" s="77"/>
      <c r="C388" s="77"/>
      <c r="D388" s="77"/>
      <c r="E388" s="77"/>
      <c r="F388" s="101"/>
      <c r="G388" s="77"/>
      <c r="H388" s="79"/>
      <c r="I388" s="77"/>
      <c r="J388" s="77"/>
      <c r="K388" s="79"/>
      <c r="L388" s="77"/>
      <c r="M388" s="77"/>
      <c r="N388" s="79"/>
      <c r="O388" s="77"/>
      <c r="P388" s="77"/>
      <c r="Q388" s="79"/>
      <c r="R388" s="77"/>
    </row>
    <row r="389">
      <c r="A389" s="77"/>
      <c r="B389" s="77"/>
      <c r="C389" s="77"/>
      <c r="D389" s="77"/>
      <c r="E389" s="77"/>
      <c r="F389" s="101"/>
      <c r="G389" s="77"/>
      <c r="H389" s="79"/>
      <c r="I389" s="77"/>
      <c r="J389" s="77"/>
      <c r="K389" s="79"/>
      <c r="L389" s="77"/>
      <c r="M389" s="77"/>
      <c r="N389" s="79"/>
      <c r="O389" s="77"/>
      <c r="P389" s="77"/>
      <c r="Q389" s="79"/>
      <c r="R389" s="77"/>
    </row>
    <row r="390">
      <c r="A390" s="77"/>
      <c r="B390" s="77"/>
      <c r="C390" s="77"/>
      <c r="D390" s="77"/>
      <c r="E390" s="77"/>
      <c r="F390" s="101"/>
      <c r="G390" s="77"/>
      <c r="H390" s="79"/>
      <c r="I390" s="77"/>
      <c r="J390" s="77"/>
      <c r="K390" s="79"/>
      <c r="L390" s="77"/>
      <c r="M390" s="77"/>
      <c r="N390" s="79"/>
      <c r="O390" s="77"/>
      <c r="P390" s="77"/>
      <c r="Q390" s="79"/>
      <c r="R390" s="77"/>
    </row>
    <row r="391">
      <c r="A391" s="77"/>
      <c r="B391" s="77"/>
      <c r="C391" s="77"/>
      <c r="D391" s="77"/>
      <c r="E391" s="77"/>
      <c r="F391" s="101"/>
      <c r="G391" s="77"/>
      <c r="H391" s="79"/>
      <c r="I391" s="77"/>
      <c r="J391" s="77"/>
      <c r="K391" s="79"/>
      <c r="L391" s="77"/>
      <c r="M391" s="77"/>
      <c r="N391" s="79"/>
      <c r="O391" s="77"/>
      <c r="P391" s="77"/>
      <c r="Q391" s="79"/>
      <c r="R391" s="77"/>
    </row>
    <row r="392">
      <c r="A392" s="77"/>
      <c r="B392" s="77"/>
      <c r="C392" s="77"/>
      <c r="D392" s="77"/>
      <c r="E392" s="77"/>
      <c r="F392" s="101"/>
      <c r="G392" s="77"/>
      <c r="H392" s="79"/>
      <c r="I392" s="77"/>
      <c r="J392" s="77"/>
      <c r="K392" s="79"/>
      <c r="L392" s="77"/>
      <c r="M392" s="77"/>
      <c r="N392" s="79"/>
      <c r="O392" s="77"/>
      <c r="P392" s="77"/>
      <c r="Q392" s="79"/>
      <c r="R392" s="77"/>
    </row>
    <row r="393">
      <c r="A393" s="77"/>
      <c r="B393" s="77"/>
      <c r="C393" s="77"/>
      <c r="D393" s="77"/>
      <c r="E393" s="77"/>
      <c r="F393" s="101"/>
      <c r="G393" s="77"/>
      <c r="H393" s="79"/>
      <c r="I393" s="77"/>
      <c r="J393" s="77"/>
      <c r="K393" s="79"/>
      <c r="L393" s="77"/>
      <c r="M393" s="77"/>
      <c r="N393" s="79"/>
      <c r="O393" s="77"/>
      <c r="P393" s="77"/>
      <c r="Q393" s="79"/>
      <c r="R393" s="77"/>
    </row>
    <row r="394">
      <c r="A394" s="77"/>
      <c r="B394" s="77"/>
      <c r="C394" s="77"/>
      <c r="D394" s="77"/>
      <c r="E394" s="77"/>
      <c r="F394" s="101"/>
      <c r="G394" s="77"/>
      <c r="H394" s="79"/>
      <c r="I394" s="77"/>
      <c r="J394" s="77"/>
      <c r="K394" s="79"/>
      <c r="L394" s="77"/>
      <c r="M394" s="77"/>
      <c r="N394" s="79"/>
      <c r="O394" s="77"/>
      <c r="P394" s="77"/>
      <c r="Q394" s="79"/>
      <c r="R394" s="77"/>
    </row>
    <row r="395">
      <c r="A395" s="77"/>
      <c r="B395" s="77"/>
      <c r="C395" s="77"/>
      <c r="D395" s="77"/>
      <c r="E395" s="77"/>
      <c r="F395" s="101"/>
      <c r="G395" s="77"/>
      <c r="H395" s="79"/>
      <c r="I395" s="77"/>
      <c r="J395" s="77"/>
      <c r="K395" s="79"/>
      <c r="L395" s="77"/>
      <c r="M395" s="77"/>
      <c r="N395" s="79"/>
      <c r="O395" s="77"/>
      <c r="P395" s="77"/>
      <c r="Q395" s="79"/>
      <c r="R395" s="77"/>
    </row>
    <row r="396">
      <c r="A396" s="77"/>
      <c r="B396" s="77"/>
      <c r="C396" s="77"/>
      <c r="D396" s="77"/>
      <c r="E396" s="77"/>
      <c r="F396" s="101"/>
      <c r="G396" s="77"/>
      <c r="H396" s="79"/>
      <c r="I396" s="77"/>
      <c r="J396" s="77"/>
      <c r="K396" s="79"/>
      <c r="L396" s="77"/>
      <c r="M396" s="77"/>
      <c r="N396" s="79"/>
      <c r="O396" s="77"/>
      <c r="P396" s="77"/>
      <c r="Q396" s="79"/>
      <c r="R396" s="77"/>
    </row>
    <row r="397">
      <c r="A397" s="77"/>
      <c r="B397" s="77"/>
      <c r="C397" s="77"/>
      <c r="D397" s="77"/>
      <c r="E397" s="77"/>
      <c r="F397" s="101"/>
      <c r="G397" s="77"/>
      <c r="H397" s="79"/>
      <c r="I397" s="77"/>
      <c r="J397" s="77"/>
      <c r="K397" s="79"/>
      <c r="L397" s="77"/>
      <c r="M397" s="77"/>
      <c r="N397" s="79"/>
      <c r="O397" s="77"/>
      <c r="P397" s="77"/>
      <c r="Q397" s="79"/>
      <c r="R397" s="77"/>
    </row>
    <row r="398">
      <c r="A398" s="77"/>
      <c r="B398" s="77"/>
      <c r="C398" s="77"/>
      <c r="D398" s="77"/>
      <c r="E398" s="77"/>
      <c r="F398" s="101"/>
      <c r="G398" s="77"/>
      <c r="H398" s="79"/>
      <c r="I398" s="77"/>
      <c r="J398" s="77"/>
      <c r="K398" s="79"/>
      <c r="L398" s="77"/>
      <c r="M398" s="77"/>
      <c r="N398" s="79"/>
      <c r="O398" s="77"/>
      <c r="P398" s="77"/>
      <c r="Q398" s="79"/>
      <c r="R398" s="77"/>
    </row>
    <row r="399">
      <c r="A399" s="77"/>
      <c r="B399" s="77"/>
      <c r="C399" s="77"/>
      <c r="D399" s="77"/>
      <c r="E399" s="77"/>
      <c r="F399" s="101"/>
      <c r="G399" s="77"/>
      <c r="H399" s="79"/>
      <c r="I399" s="77"/>
      <c r="J399" s="77"/>
      <c r="K399" s="79"/>
      <c r="L399" s="77"/>
      <c r="M399" s="77"/>
      <c r="N399" s="79"/>
      <c r="O399" s="77"/>
      <c r="P399" s="77"/>
      <c r="Q399" s="79"/>
      <c r="R399" s="77"/>
    </row>
    <row r="400">
      <c r="A400" s="77"/>
      <c r="B400" s="77"/>
      <c r="C400" s="77"/>
      <c r="D400" s="77"/>
      <c r="E400" s="77"/>
      <c r="F400" s="101"/>
      <c r="G400" s="77"/>
      <c r="H400" s="79"/>
      <c r="I400" s="77"/>
      <c r="J400" s="77"/>
      <c r="K400" s="79"/>
      <c r="L400" s="77"/>
      <c r="M400" s="77"/>
      <c r="N400" s="79"/>
      <c r="O400" s="77"/>
      <c r="P400" s="77"/>
      <c r="Q400" s="79"/>
      <c r="R400" s="77"/>
    </row>
    <row r="401">
      <c r="A401" s="77"/>
      <c r="B401" s="77"/>
      <c r="C401" s="77"/>
      <c r="D401" s="77"/>
      <c r="E401" s="77"/>
      <c r="F401" s="101"/>
      <c r="G401" s="77"/>
      <c r="H401" s="79"/>
      <c r="I401" s="77"/>
      <c r="J401" s="77"/>
      <c r="K401" s="79"/>
      <c r="L401" s="77"/>
      <c r="M401" s="77"/>
      <c r="N401" s="79"/>
      <c r="O401" s="77"/>
      <c r="P401" s="77"/>
      <c r="Q401" s="79"/>
      <c r="R401" s="77"/>
    </row>
    <row r="402">
      <c r="A402" s="77"/>
      <c r="B402" s="77"/>
      <c r="C402" s="77"/>
      <c r="D402" s="77"/>
      <c r="E402" s="77"/>
      <c r="F402" s="101"/>
      <c r="G402" s="77"/>
      <c r="H402" s="79"/>
      <c r="I402" s="77"/>
      <c r="J402" s="77"/>
      <c r="K402" s="79"/>
      <c r="L402" s="77"/>
      <c r="M402" s="77"/>
      <c r="N402" s="79"/>
      <c r="O402" s="77"/>
      <c r="P402" s="77"/>
      <c r="Q402" s="79"/>
      <c r="R402" s="77"/>
    </row>
    <row r="403">
      <c r="A403" s="77"/>
      <c r="B403" s="77"/>
      <c r="C403" s="77"/>
      <c r="D403" s="77"/>
      <c r="E403" s="77"/>
      <c r="F403" s="101"/>
      <c r="G403" s="77"/>
      <c r="H403" s="79"/>
      <c r="I403" s="77"/>
      <c r="J403" s="77"/>
      <c r="K403" s="79"/>
      <c r="L403" s="77"/>
      <c r="M403" s="77"/>
      <c r="N403" s="79"/>
      <c r="O403" s="77"/>
      <c r="P403" s="77"/>
      <c r="Q403" s="79"/>
      <c r="R403" s="77"/>
    </row>
    <row r="404">
      <c r="A404" s="77"/>
      <c r="B404" s="77"/>
      <c r="C404" s="77"/>
      <c r="D404" s="77"/>
      <c r="E404" s="77"/>
      <c r="F404" s="101"/>
      <c r="G404" s="77"/>
      <c r="H404" s="79"/>
      <c r="I404" s="77"/>
      <c r="J404" s="77"/>
      <c r="K404" s="79"/>
      <c r="L404" s="77"/>
      <c r="M404" s="77"/>
      <c r="N404" s="79"/>
      <c r="O404" s="77"/>
      <c r="P404" s="77"/>
      <c r="Q404" s="79"/>
      <c r="R404" s="77"/>
    </row>
    <row r="405">
      <c r="A405" s="77"/>
      <c r="B405" s="77"/>
      <c r="C405" s="77"/>
      <c r="D405" s="77"/>
      <c r="E405" s="77"/>
      <c r="F405" s="101"/>
      <c r="G405" s="77"/>
      <c r="H405" s="79"/>
      <c r="I405" s="77"/>
      <c r="J405" s="77"/>
      <c r="K405" s="79"/>
      <c r="L405" s="77"/>
      <c r="M405" s="77"/>
      <c r="N405" s="79"/>
      <c r="O405" s="77"/>
      <c r="P405" s="77"/>
      <c r="Q405" s="79"/>
      <c r="R405" s="77"/>
    </row>
    <row r="406">
      <c r="A406" s="77"/>
      <c r="B406" s="77"/>
      <c r="C406" s="77"/>
      <c r="D406" s="77"/>
      <c r="E406" s="77"/>
      <c r="F406" s="101"/>
      <c r="G406" s="77"/>
      <c r="H406" s="79"/>
      <c r="I406" s="77"/>
      <c r="J406" s="77"/>
      <c r="K406" s="79"/>
      <c r="L406" s="77"/>
      <c r="M406" s="77"/>
      <c r="N406" s="79"/>
      <c r="O406" s="77"/>
      <c r="P406" s="77"/>
      <c r="Q406" s="79"/>
      <c r="R406" s="77"/>
    </row>
    <row r="407">
      <c r="A407" s="77"/>
      <c r="B407" s="77"/>
      <c r="C407" s="77"/>
      <c r="D407" s="77"/>
      <c r="E407" s="77"/>
      <c r="F407" s="101"/>
      <c r="G407" s="77"/>
      <c r="H407" s="79"/>
      <c r="I407" s="77"/>
      <c r="J407" s="77"/>
      <c r="K407" s="79"/>
      <c r="L407" s="77"/>
      <c r="M407" s="77"/>
      <c r="N407" s="79"/>
      <c r="O407" s="77"/>
      <c r="P407" s="77"/>
      <c r="Q407" s="79"/>
      <c r="R407" s="77"/>
    </row>
    <row r="408">
      <c r="A408" s="77"/>
      <c r="B408" s="77"/>
      <c r="C408" s="77"/>
      <c r="D408" s="77"/>
      <c r="E408" s="77"/>
      <c r="F408" s="101"/>
      <c r="G408" s="77"/>
      <c r="H408" s="79"/>
      <c r="I408" s="77"/>
      <c r="J408" s="77"/>
      <c r="K408" s="79"/>
      <c r="L408" s="77"/>
      <c r="M408" s="77"/>
      <c r="N408" s="79"/>
      <c r="O408" s="77"/>
      <c r="P408" s="77"/>
      <c r="Q408" s="79"/>
      <c r="R408" s="77"/>
    </row>
    <row r="409">
      <c r="A409" s="77"/>
      <c r="B409" s="77"/>
      <c r="C409" s="77"/>
      <c r="D409" s="77"/>
      <c r="E409" s="77"/>
      <c r="F409" s="101"/>
      <c r="G409" s="77"/>
      <c r="H409" s="79"/>
      <c r="I409" s="77"/>
      <c r="J409" s="77"/>
      <c r="K409" s="79"/>
      <c r="L409" s="77"/>
      <c r="M409" s="77"/>
      <c r="N409" s="79"/>
      <c r="O409" s="77"/>
      <c r="P409" s="77"/>
      <c r="Q409" s="79"/>
      <c r="R409" s="77"/>
    </row>
    <row r="410">
      <c r="A410" s="77"/>
      <c r="B410" s="77"/>
      <c r="C410" s="77"/>
      <c r="D410" s="77"/>
      <c r="E410" s="77"/>
      <c r="F410" s="101"/>
      <c r="G410" s="77"/>
      <c r="H410" s="79"/>
      <c r="I410" s="77"/>
      <c r="J410" s="77"/>
      <c r="K410" s="79"/>
      <c r="L410" s="77"/>
      <c r="M410" s="77"/>
      <c r="N410" s="79"/>
      <c r="O410" s="77"/>
      <c r="P410" s="77"/>
      <c r="Q410" s="79"/>
      <c r="R410" s="77"/>
    </row>
    <row r="411">
      <c r="A411" s="77"/>
      <c r="B411" s="77"/>
      <c r="C411" s="77"/>
      <c r="D411" s="77"/>
      <c r="E411" s="77"/>
      <c r="F411" s="101"/>
      <c r="G411" s="77"/>
      <c r="H411" s="79"/>
      <c r="I411" s="77"/>
      <c r="J411" s="77"/>
      <c r="K411" s="79"/>
      <c r="L411" s="77"/>
      <c r="M411" s="77"/>
      <c r="N411" s="79"/>
      <c r="O411" s="77"/>
      <c r="P411" s="77"/>
      <c r="Q411" s="79"/>
      <c r="R411" s="77"/>
    </row>
    <row r="412">
      <c r="A412" s="77"/>
      <c r="B412" s="77"/>
      <c r="C412" s="77"/>
      <c r="D412" s="77"/>
      <c r="E412" s="77"/>
      <c r="F412" s="101"/>
      <c r="G412" s="77"/>
      <c r="H412" s="79"/>
      <c r="I412" s="77"/>
      <c r="J412" s="77"/>
      <c r="K412" s="79"/>
      <c r="L412" s="77"/>
      <c r="M412" s="77"/>
      <c r="N412" s="79"/>
      <c r="O412" s="77"/>
      <c r="P412" s="77"/>
      <c r="Q412" s="79"/>
      <c r="R412" s="77"/>
    </row>
    <row r="413">
      <c r="A413" s="77"/>
      <c r="B413" s="77"/>
      <c r="C413" s="77"/>
      <c r="D413" s="77"/>
      <c r="E413" s="77"/>
      <c r="F413" s="101"/>
      <c r="G413" s="77"/>
      <c r="H413" s="79"/>
      <c r="I413" s="77"/>
      <c r="J413" s="77"/>
      <c r="K413" s="79"/>
      <c r="L413" s="77"/>
      <c r="M413" s="77"/>
      <c r="N413" s="79"/>
      <c r="O413" s="77"/>
      <c r="P413" s="77"/>
      <c r="Q413" s="79"/>
      <c r="R413" s="77"/>
    </row>
    <row r="414">
      <c r="A414" s="77"/>
      <c r="B414" s="77"/>
      <c r="C414" s="77"/>
      <c r="D414" s="77"/>
      <c r="E414" s="77"/>
      <c r="F414" s="101"/>
      <c r="G414" s="77"/>
      <c r="H414" s="79"/>
      <c r="I414" s="77"/>
      <c r="J414" s="77"/>
      <c r="K414" s="79"/>
      <c r="L414" s="77"/>
      <c r="M414" s="77"/>
      <c r="N414" s="79"/>
      <c r="O414" s="77"/>
      <c r="P414" s="77"/>
      <c r="Q414" s="79"/>
      <c r="R414" s="77"/>
    </row>
    <row r="415">
      <c r="A415" s="77"/>
      <c r="B415" s="77"/>
      <c r="C415" s="77"/>
      <c r="D415" s="77"/>
      <c r="E415" s="77"/>
      <c r="F415" s="101"/>
      <c r="G415" s="77"/>
      <c r="H415" s="79"/>
      <c r="I415" s="77"/>
      <c r="J415" s="77"/>
      <c r="K415" s="79"/>
      <c r="L415" s="77"/>
      <c r="M415" s="77"/>
      <c r="N415" s="79"/>
      <c r="O415" s="77"/>
      <c r="P415" s="77"/>
      <c r="Q415" s="79"/>
      <c r="R415" s="77"/>
    </row>
    <row r="416">
      <c r="A416" s="77"/>
      <c r="B416" s="77"/>
      <c r="C416" s="77"/>
      <c r="D416" s="77"/>
      <c r="E416" s="77"/>
      <c r="F416" s="101"/>
      <c r="G416" s="77"/>
      <c r="H416" s="79"/>
      <c r="I416" s="77"/>
      <c r="J416" s="77"/>
      <c r="K416" s="79"/>
      <c r="L416" s="77"/>
      <c r="M416" s="77"/>
      <c r="N416" s="79"/>
      <c r="O416" s="77"/>
      <c r="P416" s="77"/>
      <c r="Q416" s="79"/>
      <c r="R416" s="77"/>
    </row>
    <row r="417">
      <c r="A417" s="77"/>
      <c r="B417" s="77"/>
      <c r="C417" s="77"/>
      <c r="D417" s="77"/>
      <c r="E417" s="77"/>
      <c r="F417" s="101"/>
      <c r="G417" s="77"/>
      <c r="H417" s="79"/>
      <c r="I417" s="77"/>
      <c r="J417" s="77"/>
      <c r="K417" s="79"/>
      <c r="L417" s="77"/>
      <c r="M417" s="77"/>
      <c r="N417" s="79"/>
      <c r="O417" s="77"/>
      <c r="P417" s="77"/>
      <c r="Q417" s="79"/>
      <c r="R417" s="77"/>
    </row>
    <row r="418">
      <c r="A418" s="77"/>
      <c r="B418" s="77"/>
      <c r="C418" s="77"/>
      <c r="D418" s="77"/>
      <c r="E418" s="77"/>
      <c r="F418" s="101"/>
      <c r="G418" s="77"/>
      <c r="H418" s="79"/>
      <c r="I418" s="77"/>
      <c r="J418" s="77"/>
      <c r="K418" s="79"/>
      <c r="L418" s="77"/>
      <c r="M418" s="77"/>
      <c r="N418" s="79"/>
      <c r="O418" s="77"/>
      <c r="P418" s="77"/>
      <c r="Q418" s="79"/>
      <c r="R418" s="77"/>
    </row>
    <row r="419">
      <c r="A419" s="77"/>
      <c r="B419" s="77"/>
      <c r="C419" s="77"/>
      <c r="D419" s="77"/>
      <c r="E419" s="77"/>
      <c r="F419" s="101"/>
      <c r="G419" s="77"/>
      <c r="H419" s="79"/>
      <c r="I419" s="77"/>
      <c r="J419" s="77"/>
      <c r="K419" s="79"/>
      <c r="L419" s="77"/>
      <c r="M419" s="77"/>
      <c r="N419" s="79"/>
      <c r="O419" s="77"/>
      <c r="P419" s="77"/>
      <c r="Q419" s="79"/>
      <c r="R419" s="77"/>
    </row>
    <row r="420">
      <c r="A420" s="77"/>
      <c r="B420" s="77"/>
      <c r="C420" s="77"/>
      <c r="D420" s="77"/>
      <c r="E420" s="77"/>
      <c r="F420" s="101"/>
      <c r="G420" s="77"/>
      <c r="H420" s="79"/>
      <c r="I420" s="77"/>
      <c r="J420" s="77"/>
      <c r="K420" s="79"/>
      <c r="L420" s="77"/>
      <c r="M420" s="77"/>
      <c r="N420" s="79"/>
      <c r="O420" s="77"/>
      <c r="P420" s="77"/>
      <c r="Q420" s="79"/>
      <c r="R420" s="77"/>
    </row>
    <row r="421">
      <c r="A421" s="77"/>
      <c r="B421" s="77"/>
      <c r="C421" s="77"/>
      <c r="D421" s="77"/>
      <c r="E421" s="77"/>
      <c r="F421" s="101"/>
      <c r="G421" s="77"/>
      <c r="H421" s="79"/>
      <c r="I421" s="77"/>
      <c r="J421" s="77"/>
      <c r="K421" s="79"/>
      <c r="L421" s="77"/>
      <c r="M421" s="77"/>
      <c r="N421" s="79"/>
      <c r="O421" s="77"/>
      <c r="P421" s="77"/>
      <c r="Q421" s="79"/>
      <c r="R421" s="77"/>
    </row>
    <row r="422">
      <c r="A422" s="77"/>
      <c r="B422" s="77"/>
      <c r="C422" s="77"/>
      <c r="D422" s="77"/>
      <c r="E422" s="77"/>
      <c r="F422" s="101"/>
      <c r="G422" s="77"/>
      <c r="H422" s="79"/>
      <c r="I422" s="77"/>
      <c r="J422" s="77"/>
      <c r="K422" s="79"/>
      <c r="L422" s="77"/>
      <c r="M422" s="77"/>
      <c r="N422" s="79"/>
      <c r="O422" s="77"/>
      <c r="P422" s="77"/>
      <c r="Q422" s="79"/>
      <c r="R422" s="77"/>
    </row>
    <row r="423">
      <c r="A423" s="77"/>
      <c r="B423" s="77"/>
      <c r="C423" s="77"/>
      <c r="D423" s="77"/>
      <c r="E423" s="77"/>
      <c r="F423" s="101"/>
      <c r="G423" s="77"/>
      <c r="H423" s="79"/>
      <c r="I423" s="77"/>
      <c r="J423" s="77"/>
      <c r="K423" s="79"/>
      <c r="L423" s="77"/>
      <c r="M423" s="77"/>
      <c r="N423" s="79"/>
      <c r="O423" s="77"/>
      <c r="P423" s="77"/>
      <c r="Q423" s="79"/>
      <c r="R423" s="77"/>
    </row>
    <row r="424">
      <c r="A424" s="77"/>
      <c r="B424" s="77"/>
      <c r="C424" s="77"/>
      <c r="D424" s="77"/>
      <c r="E424" s="77"/>
      <c r="F424" s="101"/>
      <c r="G424" s="77"/>
      <c r="H424" s="79"/>
      <c r="I424" s="77"/>
      <c r="J424" s="77"/>
      <c r="K424" s="79"/>
      <c r="L424" s="77"/>
      <c r="M424" s="77"/>
      <c r="N424" s="79"/>
      <c r="O424" s="77"/>
      <c r="P424" s="77"/>
      <c r="Q424" s="79"/>
      <c r="R424" s="77"/>
    </row>
    <row r="425">
      <c r="A425" s="77"/>
      <c r="B425" s="77"/>
      <c r="C425" s="77"/>
      <c r="D425" s="77"/>
      <c r="E425" s="77"/>
      <c r="F425" s="101"/>
      <c r="G425" s="77"/>
      <c r="H425" s="79"/>
      <c r="I425" s="77"/>
      <c r="J425" s="77"/>
      <c r="K425" s="79"/>
      <c r="L425" s="77"/>
      <c r="M425" s="77"/>
      <c r="N425" s="79"/>
      <c r="O425" s="77"/>
      <c r="P425" s="77"/>
      <c r="Q425" s="79"/>
      <c r="R425" s="77"/>
    </row>
    <row r="426">
      <c r="A426" s="77"/>
      <c r="B426" s="77"/>
      <c r="C426" s="77"/>
      <c r="D426" s="77"/>
      <c r="E426" s="77"/>
      <c r="F426" s="101"/>
      <c r="G426" s="77"/>
      <c r="H426" s="79"/>
      <c r="I426" s="77"/>
      <c r="J426" s="77"/>
      <c r="K426" s="79"/>
      <c r="L426" s="77"/>
      <c r="M426" s="77"/>
      <c r="N426" s="79"/>
      <c r="O426" s="77"/>
      <c r="P426" s="77"/>
      <c r="Q426" s="79"/>
      <c r="R426" s="77"/>
    </row>
    <row r="427">
      <c r="A427" s="77"/>
      <c r="B427" s="77"/>
      <c r="C427" s="77"/>
      <c r="D427" s="77"/>
      <c r="E427" s="77"/>
      <c r="F427" s="101"/>
      <c r="G427" s="77"/>
      <c r="H427" s="79"/>
      <c r="I427" s="77"/>
      <c r="J427" s="77"/>
      <c r="K427" s="79"/>
      <c r="L427" s="77"/>
      <c r="M427" s="77"/>
      <c r="N427" s="79"/>
      <c r="O427" s="77"/>
      <c r="P427" s="77"/>
      <c r="Q427" s="79"/>
      <c r="R427" s="77"/>
    </row>
    <row r="428">
      <c r="A428" s="77"/>
      <c r="B428" s="77"/>
      <c r="C428" s="77"/>
      <c r="D428" s="77"/>
      <c r="E428" s="77"/>
      <c r="F428" s="101"/>
      <c r="G428" s="77"/>
      <c r="H428" s="79"/>
      <c r="I428" s="77"/>
      <c r="J428" s="77"/>
      <c r="K428" s="79"/>
      <c r="L428" s="77"/>
      <c r="M428" s="77"/>
      <c r="N428" s="79"/>
      <c r="O428" s="77"/>
      <c r="P428" s="77"/>
      <c r="Q428" s="79"/>
      <c r="R428" s="77"/>
    </row>
    <row r="429">
      <c r="A429" s="77"/>
      <c r="B429" s="77"/>
      <c r="C429" s="77"/>
      <c r="D429" s="77"/>
      <c r="E429" s="77"/>
      <c r="F429" s="101"/>
      <c r="G429" s="77"/>
      <c r="H429" s="79"/>
      <c r="I429" s="77"/>
      <c r="J429" s="77"/>
      <c r="K429" s="79"/>
      <c r="L429" s="77"/>
      <c r="M429" s="77"/>
      <c r="N429" s="79"/>
      <c r="O429" s="77"/>
      <c r="P429" s="77"/>
      <c r="Q429" s="79"/>
      <c r="R429" s="77"/>
    </row>
    <row r="430">
      <c r="A430" s="77"/>
      <c r="B430" s="77"/>
      <c r="C430" s="77"/>
      <c r="D430" s="77"/>
      <c r="E430" s="77"/>
      <c r="F430" s="101"/>
      <c r="G430" s="77"/>
      <c r="H430" s="79"/>
      <c r="I430" s="77"/>
      <c r="J430" s="77"/>
      <c r="K430" s="79"/>
      <c r="L430" s="77"/>
      <c r="M430" s="77"/>
      <c r="N430" s="79"/>
      <c r="O430" s="77"/>
      <c r="P430" s="77"/>
      <c r="Q430" s="79"/>
      <c r="R430" s="77"/>
    </row>
    <row r="431">
      <c r="A431" s="77"/>
      <c r="B431" s="77"/>
      <c r="C431" s="77"/>
      <c r="D431" s="77"/>
      <c r="E431" s="77"/>
      <c r="F431" s="101"/>
      <c r="G431" s="77"/>
      <c r="H431" s="79"/>
      <c r="I431" s="77"/>
      <c r="J431" s="77"/>
      <c r="K431" s="79"/>
      <c r="L431" s="77"/>
      <c r="M431" s="77"/>
      <c r="N431" s="79"/>
      <c r="O431" s="77"/>
      <c r="P431" s="77"/>
      <c r="Q431" s="79"/>
      <c r="R431" s="77"/>
    </row>
    <row r="432">
      <c r="A432" s="77"/>
      <c r="B432" s="77"/>
      <c r="C432" s="77"/>
      <c r="D432" s="77"/>
      <c r="E432" s="77"/>
      <c r="F432" s="101"/>
      <c r="G432" s="77"/>
      <c r="H432" s="79"/>
      <c r="I432" s="77"/>
      <c r="J432" s="77"/>
      <c r="K432" s="79"/>
      <c r="L432" s="77"/>
      <c r="M432" s="77"/>
      <c r="N432" s="79"/>
      <c r="O432" s="77"/>
      <c r="P432" s="77"/>
      <c r="Q432" s="79"/>
      <c r="R432" s="77"/>
    </row>
    <row r="433">
      <c r="A433" s="77"/>
      <c r="B433" s="77"/>
      <c r="C433" s="77"/>
      <c r="D433" s="77"/>
      <c r="E433" s="77"/>
      <c r="F433" s="101"/>
      <c r="G433" s="77"/>
      <c r="H433" s="79"/>
      <c r="I433" s="77"/>
      <c r="J433" s="77"/>
      <c r="K433" s="79"/>
      <c r="L433" s="77"/>
      <c r="M433" s="77"/>
      <c r="N433" s="79"/>
      <c r="O433" s="77"/>
      <c r="P433" s="77"/>
      <c r="Q433" s="79"/>
      <c r="R433" s="77"/>
    </row>
    <row r="434">
      <c r="A434" s="77"/>
      <c r="B434" s="77"/>
      <c r="C434" s="77"/>
      <c r="D434" s="77"/>
      <c r="E434" s="77"/>
      <c r="F434" s="101"/>
      <c r="G434" s="77"/>
      <c r="H434" s="79"/>
      <c r="I434" s="77"/>
      <c r="J434" s="77"/>
      <c r="K434" s="79"/>
      <c r="L434" s="77"/>
      <c r="M434" s="77"/>
      <c r="N434" s="79"/>
      <c r="O434" s="77"/>
      <c r="P434" s="77"/>
      <c r="Q434" s="79"/>
      <c r="R434" s="77"/>
    </row>
    <row r="435">
      <c r="A435" s="77"/>
      <c r="B435" s="77"/>
      <c r="C435" s="77"/>
      <c r="D435" s="77"/>
      <c r="E435" s="77"/>
      <c r="F435" s="101"/>
      <c r="G435" s="77"/>
      <c r="H435" s="79"/>
      <c r="I435" s="77"/>
      <c r="J435" s="77"/>
      <c r="K435" s="79"/>
      <c r="L435" s="77"/>
      <c r="M435" s="77"/>
      <c r="N435" s="79"/>
      <c r="O435" s="77"/>
      <c r="P435" s="77"/>
      <c r="Q435" s="79"/>
      <c r="R435" s="77"/>
    </row>
    <row r="436">
      <c r="A436" s="77"/>
      <c r="B436" s="77"/>
      <c r="C436" s="77"/>
      <c r="D436" s="77"/>
      <c r="E436" s="77"/>
      <c r="F436" s="101"/>
      <c r="G436" s="77"/>
      <c r="H436" s="79"/>
      <c r="I436" s="77"/>
      <c r="J436" s="77"/>
      <c r="K436" s="79"/>
      <c r="L436" s="77"/>
      <c r="M436" s="77"/>
      <c r="N436" s="79"/>
      <c r="O436" s="77"/>
      <c r="P436" s="77"/>
      <c r="Q436" s="79"/>
      <c r="R436" s="77"/>
    </row>
    <row r="437">
      <c r="A437" s="77"/>
      <c r="B437" s="77"/>
      <c r="C437" s="77"/>
      <c r="D437" s="77"/>
      <c r="E437" s="77"/>
      <c r="F437" s="101"/>
      <c r="G437" s="77"/>
      <c r="H437" s="79"/>
      <c r="I437" s="77"/>
      <c r="J437" s="77"/>
      <c r="K437" s="79"/>
      <c r="L437" s="77"/>
      <c r="M437" s="77"/>
      <c r="N437" s="79"/>
      <c r="O437" s="77"/>
      <c r="P437" s="77"/>
      <c r="Q437" s="79"/>
      <c r="R437" s="77"/>
    </row>
    <row r="438">
      <c r="A438" s="77"/>
      <c r="B438" s="77"/>
      <c r="C438" s="77"/>
      <c r="D438" s="77"/>
      <c r="E438" s="77"/>
      <c r="F438" s="101"/>
      <c r="G438" s="77"/>
      <c r="H438" s="79"/>
      <c r="I438" s="77"/>
      <c r="J438" s="77"/>
      <c r="K438" s="79"/>
      <c r="L438" s="77"/>
      <c r="M438" s="77"/>
      <c r="N438" s="79"/>
      <c r="O438" s="77"/>
      <c r="P438" s="77"/>
      <c r="Q438" s="79"/>
      <c r="R438" s="77"/>
    </row>
    <row r="439">
      <c r="A439" s="77"/>
      <c r="B439" s="77"/>
      <c r="C439" s="77"/>
      <c r="D439" s="77"/>
      <c r="E439" s="77"/>
      <c r="F439" s="101"/>
      <c r="G439" s="77"/>
      <c r="H439" s="79"/>
      <c r="I439" s="77"/>
      <c r="J439" s="77"/>
      <c r="K439" s="79"/>
      <c r="L439" s="77"/>
      <c r="M439" s="77"/>
      <c r="N439" s="79"/>
      <c r="O439" s="77"/>
      <c r="P439" s="77"/>
      <c r="Q439" s="79"/>
      <c r="R439" s="77"/>
    </row>
    <row r="440">
      <c r="A440" s="77"/>
      <c r="B440" s="77"/>
      <c r="C440" s="77"/>
      <c r="D440" s="77"/>
      <c r="E440" s="77"/>
      <c r="F440" s="101"/>
      <c r="G440" s="77"/>
      <c r="H440" s="79"/>
      <c r="I440" s="77"/>
      <c r="J440" s="77"/>
      <c r="K440" s="79"/>
      <c r="L440" s="77"/>
      <c r="M440" s="77"/>
      <c r="N440" s="79"/>
      <c r="O440" s="77"/>
      <c r="P440" s="77"/>
      <c r="Q440" s="79"/>
      <c r="R440" s="77"/>
    </row>
    <row r="441">
      <c r="A441" s="77"/>
      <c r="B441" s="77"/>
      <c r="C441" s="77"/>
      <c r="D441" s="77"/>
      <c r="E441" s="77"/>
      <c r="F441" s="101"/>
      <c r="G441" s="77"/>
      <c r="H441" s="79"/>
      <c r="I441" s="77"/>
      <c r="J441" s="77"/>
      <c r="K441" s="79"/>
      <c r="L441" s="77"/>
      <c r="M441" s="77"/>
      <c r="N441" s="79"/>
      <c r="O441" s="77"/>
      <c r="P441" s="77"/>
      <c r="Q441" s="79"/>
      <c r="R441" s="77"/>
    </row>
    <row r="442">
      <c r="A442" s="77"/>
      <c r="B442" s="77"/>
      <c r="C442" s="77"/>
      <c r="D442" s="77"/>
      <c r="E442" s="77"/>
      <c r="F442" s="101"/>
      <c r="G442" s="77"/>
      <c r="H442" s="79"/>
      <c r="I442" s="77"/>
      <c r="J442" s="77"/>
      <c r="K442" s="79"/>
      <c r="L442" s="77"/>
      <c r="M442" s="77"/>
      <c r="N442" s="79"/>
      <c r="O442" s="77"/>
      <c r="P442" s="77"/>
      <c r="Q442" s="79"/>
      <c r="R442" s="77"/>
    </row>
    <row r="443">
      <c r="A443" s="77"/>
      <c r="B443" s="77"/>
      <c r="C443" s="77"/>
      <c r="D443" s="77"/>
      <c r="E443" s="77"/>
      <c r="F443" s="101"/>
      <c r="G443" s="77"/>
      <c r="H443" s="79"/>
      <c r="I443" s="77"/>
      <c r="J443" s="77"/>
      <c r="K443" s="79"/>
      <c r="L443" s="77"/>
      <c r="M443" s="77"/>
      <c r="N443" s="79"/>
      <c r="O443" s="77"/>
      <c r="P443" s="77"/>
      <c r="Q443" s="79"/>
      <c r="R443" s="77"/>
    </row>
    <row r="444">
      <c r="A444" s="77"/>
      <c r="B444" s="77"/>
      <c r="C444" s="77"/>
      <c r="D444" s="77"/>
      <c r="E444" s="77"/>
      <c r="F444" s="101"/>
      <c r="G444" s="77"/>
      <c r="H444" s="79"/>
      <c r="I444" s="77"/>
      <c r="J444" s="77"/>
      <c r="K444" s="79"/>
      <c r="L444" s="77"/>
      <c r="M444" s="77"/>
      <c r="N444" s="79"/>
      <c r="O444" s="77"/>
      <c r="P444" s="77"/>
      <c r="Q444" s="79"/>
      <c r="R444" s="77"/>
    </row>
    <row r="445">
      <c r="A445" s="77"/>
      <c r="B445" s="77"/>
      <c r="C445" s="77"/>
      <c r="D445" s="77"/>
      <c r="E445" s="77"/>
      <c r="F445" s="101"/>
      <c r="G445" s="77"/>
      <c r="H445" s="79"/>
      <c r="I445" s="77"/>
      <c r="J445" s="77"/>
      <c r="K445" s="79"/>
      <c r="L445" s="77"/>
      <c r="M445" s="77"/>
      <c r="N445" s="79"/>
      <c r="O445" s="77"/>
      <c r="P445" s="77"/>
      <c r="Q445" s="79"/>
      <c r="R445" s="77"/>
    </row>
    <row r="446">
      <c r="A446" s="77"/>
      <c r="B446" s="77"/>
      <c r="C446" s="77"/>
      <c r="D446" s="77"/>
      <c r="E446" s="77"/>
      <c r="F446" s="101"/>
      <c r="G446" s="77"/>
      <c r="H446" s="79"/>
      <c r="I446" s="77"/>
      <c r="J446" s="77"/>
      <c r="K446" s="79"/>
      <c r="L446" s="77"/>
      <c r="M446" s="77"/>
      <c r="N446" s="79"/>
      <c r="O446" s="77"/>
      <c r="P446" s="77"/>
      <c r="Q446" s="79"/>
      <c r="R446" s="77"/>
    </row>
    <row r="447">
      <c r="A447" s="77"/>
      <c r="B447" s="77"/>
      <c r="C447" s="77"/>
      <c r="D447" s="77"/>
      <c r="E447" s="77"/>
      <c r="F447" s="101"/>
      <c r="G447" s="77"/>
      <c r="H447" s="79"/>
      <c r="I447" s="77"/>
      <c r="J447" s="77"/>
      <c r="K447" s="79"/>
      <c r="L447" s="77"/>
      <c r="M447" s="77"/>
      <c r="N447" s="79"/>
      <c r="O447" s="77"/>
      <c r="P447" s="77"/>
      <c r="Q447" s="79"/>
      <c r="R447" s="77"/>
    </row>
    <row r="448">
      <c r="A448" s="77"/>
      <c r="B448" s="77"/>
      <c r="C448" s="77"/>
      <c r="D448" s="77"/>
      <c r="E448" s="77"/>
      <c r="F448" s="101"/>
      <c r="G448" s="77"/>
      <c r="H448" s="79"/>
      <c r="I448" s="77"/>
      <c r="J448" s="77"/>
      <c r="K448" s="79"/>
      <c r="L448" s="77"/>
      <c r="M448" s="77"/>
      <c r="N448" s="79"/>
      <c r="O448" s="77"/>
      <c r="P448" s="77"/>
      <c r="Q448" s="79"/>
      <c r="R448" s="77"/>
    </row>
    <row r="449">
      <c r="A449" s="77"/>
      <c r="B449" s="77"/>
      <c r="C449" s="77"/>
      <c r="D449" s="77"/>
      <c r="E449" s="77"/>
      <c r="F449" s="101"/>
      <c r="G449" s="77"/>
      <c r="H449" s="79"/>
      <c r="I449" s="77"/>
      <c r="J449" s="77"/>
      <c r="K449" s="79"/>
      <c r="L449" s="77"/>
      <c r="M449" s="77"/>
      <c r="N449" s="79"/>
      <c r="O449" s="77"/>
      <c r="P449" s="77"/>
      <c r="Q449" s="79"/>
      <c r="R449" s="77"/>
    </row>
    <row r="450">
      <c r="A450" s="77"/>
      <c r="B450" s="77"/>
      <c r="C450" s="77"/>
      <c r="D450" s="77"/>
      <c r="E450" s="77"/>
      <c r="F450" s="101"/>
      <c r="G450" s="77"/>
      <c r="H450" s="79"/>
      <c r="I450" s="77"/>
      <c r="J450" s="77"/>
      <c r="K450" s="79"/>
      <c r="L450" s="77"/>
      <c r="M450" s="77"/>
      <c r="N450" s="79"/>
      <c r="O450" s="77"/>
      <c r="P450" s="77"/>
      <c r="Q450" s="79"/>
      <c r="R450" s="77"/>
    </row>
    <row r="451">
      <c r="A451" s="77"/>
      <c r="B451" s="77"/>
      <c r="C451" s="77"/>
      <c r="D451" s="77"/>
      <c r="E451" s="77"/>
      <c r="F451" s="101"/>
      <c r="G451" s="77"/>
      <c r="H451" s="79"/>
      <c r="I451" s="77"/>
      <c r="J451" s="77"/>
      <c r="K451" s="79"/>
      <c r="L451" s="77"/>
      <c r="M451" s="77"/>
      <c r="N451" s="79"/>
      <c r="O451" s="77"/>
      <c r="P451" s="77"/>
      <c r="Q451" s="79"/>
      <c r="R451" s="77"/>
    </row>
    <row r="452">
      <c r="A452" s="77"/>
      <c r="B452" s="77"/>
      <c r="C452" s="77"/>
      <c r="D452" s="77"/>
      <c r="E452" s="77"/>
      <c r="F452" s="101"/>
      <c r="G452" s="77"/>
      <c r="H452" s="79"/>
      <c r="I452" s="77"/>
      <c r="J452" s="77"/>
      <c r="K452" s="79"/>
      <c r="L452" s="77"/>
      <c r="M452" s="77"/>
      <c r="N452" s="79"/>
      <c r="O452" s="77"/>
      <c r="P452" s="77"/>
      <c r="Q452" s="79"/>
      <c r="R452" s="77"/>
    </row>
    <row r="453">
      <c r="A453" s="77"/>
      <c r="B453" s="77"/>
      <c r="C453" s="77"/>
      <c r="D453" s="77"/>
      <c r="E453" s="77"/>
      <c r="F453" s="101"/>
      <c r="G453" s="77"/>
      <c r="H453" s="79"/>
      <c r="I453" s="77"/>
      <c r="J453" s="77"/>
      <c r="K453" s="79"/>
      <c r="L453" s="77"/>
      <c r="M453" s="77"/>
      <c r="N453" s="79"/>
      <c r="O453" s="77"/>
      <c r="P453" s="77"/>
      <c r="Q453" s="79"/>
      <c r="R453" s="77"/>
    </row>
    <row r="454">
      <c r="A454" s="77"/>
      <c r="B454" s="77"/>
      <c r="C454" s="77"/>
      <c r="D454" s="77"/>
      <c r="E454" s="77"/>
      <c r="F454" s="101"/>
      <c r="G454" s="77"/>
      <c r="H454" s="79"/>
      <c r="I454" s="77"/>
      <c r="J454" s="77"/>
      <c r="K454" s="79"/>
      <c r="L454" s="77"/>
      <c r="M454" s="77"/>
      <c r="N454" s="79"/>
      <c r="O454" s="77"/>
      <c r="P454" s="77"/>
      <c r="Q454" s="79"/>
      <c r="R454" s="77"/>
    </row>
    <row r="455">
      <c r="A455" s="77"/>
      <c r="B455" s="77"/>
      <c r="C455" s="77"/>
      <c r="D455" s="77"/>
      <c r="E455" s="77"/>
      <c r="F455" s="101"/>
      <c r="G455" s="77"/>
      <c r="H455" s="79"/>
      <c r="I455" s="77"/>
      <c r="J455" s="77"/>
      <c r="K455" s="79"/>
      <c r="L455" s="77"/>
      <c r="M455" s="77"/>
      <c r="N455" s="79"/>
      <c r="O455" s="77"/>
      <c r="P455" s="77"/>
      <c r="Q455" s="79"/>
      <c r="R455" s="77"/>
    </row>
    <row r="456">
      <c r="A456" s="77"/>
      <c r="B456" s="77"/>
      <c r="C456" s="77"/>
      <c r="D456" s="77"/>
      <c r="E456" s="77"/>
      <c r="F456" s="101"/>
      <c r="G456" s="77"/>
      <c r="H456" s="79"/>
      <c r="I456" s="77"/>
      <c r="J456" s="77"/>
      <c r="K456" s="79"/>
      <c r="L456" s="77"/>
      <c r="M456" s="77"/>
      <c r="N456" s="79"/>
      <c r="O456" s="77"/>
      <c r="P456" s="77"/>
      <c r="Q456" s="79"/>
      <c r="R456" s="77"/>
    </row>
    <row r="457">
      <c r="A457" s="77"/>
      <c r="B457" s="77"/>
      <c r="C457" s="77"/>
      <c r="D457" s="77"/>
      <c r="E457" s="77"/>
      <c r="F457" s="101"/>
      <c r="G457" s="77"/>
      <c r="H457" s="79"/>
      <c r="I457" s="77"/>
      <c r="J457" s="77"/>
      <c r="K457" s="79"/>
      <c r="L457" s="77"/>
      <c r="M457" s="77"/>
      <c r="N457" s="79"/>
      <c r="O457" s="77"/>
      <c r="P457" s="77"/>
      <c r="Q457" s="79"/>
      <c r="R457" s="77"/>
    </row>
    <row r="458">
      <c r="A458" s="77"/>
      <c r="B458" s="77"/>
      <c r="C458" s="77"/>
      <c r="D458" s="77"/>
      <c r="E458" s="77"/>
      <c r="F458" s="101"/>
      <c r="G458" s="77"/>
      <c r="H458" s="79"/>
      <c r="I458" s="77"/>
      <c r="J458" s="77"/>
      <c r="K458" s="79"/>
      <c r="L458" s="77"/>
      <c r="M458" s="77"/>
      <c r="N458" s="79"/>
      <c r="O458" s="77"/>
      <c r="P458" s="77"/>
      <c r="Q458" s="79"/>
      <c r="R458" s="77"/>
    </row>
    <row r="459">
      <c r="A459" s="77"/>
      <c r="B459" s="77"/>
      <c r="C459" s="77"/>
      <c r="D459" s="77"/>
      <c r="E459" s="77"/>
      <c r="F459" s="101"/>
      <c r="G459" s="77"/>
      <c r="H459" s="79"/>
      <c r="I459" s="77"/>
      <c r="J459" s="77"/>
      <c r="K459" s="79"/>
      <c r="L459" s="77"/>
      <c r="M459" s="77"/>
      <c r="N459" s="79"/>
      <c r="O459" s="77"/>
      <c r="P459" s="77"/>
      <c r="Q459" s="79"/>
      <c r="R459" s="77"/>
    </row>
    <row r="460">
      <c r="A460" s="77"/>
      <c r="B460" s="77"/>
      <c r="C460" s="77"/>
      <c r="D460" s="77"/>
      <c r="E460" s="77"/>
      <c r="F460" s="101"/>
      <c r="G460" s="77"/>
      <c r="H460" s="79"/>
      <c r="I460" s="77"/>
      <c r="J460" s="77"/>
      <c r="K460" s="79"/>
      <c r="L460" s="77"/>
      <c r="M460" s="77"/>
      <c r="N460" s="79"/>
      <c r="O460" s="77"/>
      <c r="P460" s="77"/>
      <c r="Q460" s="79"/>
      <c r="R460" s="77"/>
    </row>
    <row r="461">
      <c r="A461" s="77"/>
      <c r="B461" s="77"/>
      <c r="C461" s="77"/>
      <c r="D461" s="77"/>
      <c r="E461" s="77"/>
      <c r="F461" s="101"/>
      <c r="G461" s="77"/>
      <c r="H461" s="79"/>
      <c r="I461" s="77"/>
      <c r="J461" s="77"/>
      <c r="K461" s="79"/>
      <c r="L461" s="77"/>
      <c r="M461" s="77"/>
      <c r="N461" s="79"/>
      <c r="O461" s="77"/>
      <c r="P461" s="77"/>
      <c r="Q461" s="79"/>
      <c r="R461" s="77"/>
    </row>
    <row r="462">
      <c r="A462" s="77"/>
      <c r="B462" s="77"/>
      <c r="C462" s="77"/>
      <c r="D462" s="77"/>
      <c r="E462" s="77"/>
      <c r="F462" s="101"/>
      <c r="G462" s="77"/>
      <c r="H462" s="79"/>
      <c r="I462" s="77"/>
      <c r="J462" s="77"/>
      <c r="K462" s="79"/>
      <c r="L462" s="77"/>
      <c r="M462" s="77"/>
      <c r="N462" s="79"/>
      <c r="O462" s="77"/>
      <c r="P462" s="77"/>
      <c r="Q462" s="79"/>
      <c r="R462" s="77"/>
    </row>
    <row r="463">
      <c r="A463" s="77"/>
      <c r="B463" s="77"/>
      <c r="C463" s="77"/>
      <c r="D463" s="77"/>
      <c r="E463" s="77"/>
      <c r="F463" s="101"/>
      <c r="G463" s="77"/>
      <c r="H463" s="79"/>
      <c r="I463" s="77"/>
      <c r="J463" s="77"/>
      <c r="K463" s="79"/>
      <c r="L463" s="77"/>
      <c r="M463" s="77"/>
      <c r="N463" s="79"/>
      <c r="O463" s="77"/>
      <c r="P463" s="77"/>
      <c r="Q463" s="79"/>
      <c r="R463" s="77"/>
    </row>
    <row r="464">
      <c r="A464" s="77"/>
      <c r="B464" s="77"/>
      <c r="C464" s="77"/>
      <c r="D464" s="77"/>
      <c r="E464" s="77"/>
      <c r="F464" s="101"/>
      <c r="G464" s="77"/>
      <c r="H464" s="79"/>
      <c r="I464" s="77"/>
      <c r="J464" s="77"/>
      <c r="K464" s="79"/>
      <c r="L464" s="77"/>
      <c r="M464" s="77"/>
      <c r="N464" s="79"/>
      <c r="O464" s="77"/>
      <c r="P464" s="77"/>
      <c r="Q464" s="79"/>
      <c r="R464" s="77"/>
    </row>
    <row r="465">
      <c r="A465" s="77"/>
      <c r="B465" s="77"/>
      <c r="C465" s="77"/>
      <c r="D465" s="77"/>
      <c r="E465" s="77"/>
      <c r="F465" s="101"/>
      <c r="G465" s="77"/>
      <c r="H465" s="79"/>
      <c r="I465" s="77"/>
      <c r="J465" s="77"/>
      <c r="K465" s="79"/>
      <c r="L465" s="77"/>
      <c r="M465" s="77"/>
      <c r="N465" s="79"/>
      <c r="O465" s="77"/>
      <c r="P465" s="77"/>
      <c r="Q465" s="79"/>
      <c r="R465" s="77"/>
    </row>
    <row r="466">
      <c r="A466" s="77"/>
      <c r="B466" s="77"/>
      <c r="C466" s="77"/>
      <c r="D466" s="77"/>
      <c r="E466" s="77"/>
      <c r="F466" s="101"/>
      <c r="G466" s="77"/>
      <c r="H466" s="79"/>
      <c r="I466" s="77"/>
      <c r="J466" s="77"/>
      <c r="K466" s="79"/>
      <c r="L466" s="77"/>
      <c r="M466" s="77"/>
      <c r="N466" s="79"/>
      <c r="O466" s="77"/>
      <c r="P466" s="77"/>
      <c r="Q466" s="79"/>
      <c r="R466" s="77"/>
    </row>
    <row r="467">
      <c r="A467" s="77"/>
      <c r="B467" s="77"/>
      <c r="C467" s="77"/>
      <c r="D467" s="77"/>
      <c r="E467" s="77"/>
      <c r="F467" s="101"/>
      <c r="G467" s="77"/>
      <c r="H467" s="79"/>
      <c r="I467" s="77"/>
      <c r="J467" s="77"/>
      <c r="K467" s="79"/>
      <c r="L467" s="77"/>
      <c r="M467" s="77"/>
      <c r="N467" s="79"/>
      <c r="O467" s="77"/>
      <c r="P467" s="77"/>
      <c r="Q467" s="79"/>
      <c r="R467" s="77"/>
    </row>
    <row r="468">
      <c r="A468" s="77"/>
      <c r="B468" s="77"/>
      <c r="C468" s="77"/>
      <c r="D468" s="77"/>
      <c r="E468" s="77"/>
      <c r="F468" s="101"/>
      <c r="G468" s="77"/>
      <c r="H468" s="79"/>
      <c r="I468" s="77"/>
      <c r="J468" s="77"/>
      <c r="K468" s="79"/>
      <c r="L468" s="77"/>
      <c r="M468" s="77"/>
      <c r="N468" s="79"/>
      <c r="O468" s="77"/>
      <c r="P468" s="77"/>
      <c r="Q468" s="79"/>
      <c r="R468" s="77"/>
    </row>
    <row r="469">
      <c r="A469" s="77"/>
      <c r="B469" s="77"/>
      <c r="C469" s="77"/>
      <c r="D469" s="77"/>
      <c r="E469" s="77"/>
      <c r="F469" s="101"/>
      <c r="G469" s="77"/>
      <c r="H469" s="79"/>
      <c r="I469" s="77"/>
      <c r="J469" s="77"/>
      <c r="K469" s="79"/>
      <c r="L469" s="77"/>
      <c r="M469" s="77"/>
      <c r="N469" s="79"/>
      <c r="O469" s="77"/>
      <c r="P469" s="77"/>
      <c r="Q469" s="79"/>
      <c r="R469" s="77"/>
    </row>
    <row r="470">
      <c r="A470" s="77"/>
      <c r="B470" s="77"/>
      <c r="C470" s="77"/>
      <c r="D470" s="77"/>
      <c r="E470" s="77"/>
      <c r="F470" s="101"/>
      <c r="G470" s="77"/>
      <c r="H470" s="79"/>
      <c r="I470" s="77"/>
      <c r="J470" s="77"/>
      <c r="K470" s="79"/>
      <c r="L470" s="77"/>
      <c r="M470" s="77"/>
      <c r="N470" s="79"/>
      <c r="O470" s="77"/>
      <c r="P470" s="77"/>
      <c r="Q470" s="79"/>
      <c r="R470" s="77"/>
    </row>
    <row r="471">
      <c r="A471" s="77"/>
      <c r="B471" s="77"/>
      <c r="C471" s="77"/>
      <c r="D471" s="77"/>
      <c r="E471" s="77"/>
      <c r="F471" s="101"/>
      <c r="G471" s="77"/>
      <c r="H471" s="79"/>
      <c r="I471" s="77"/>
      <c r="J471" s="77"/>
      <c r="K471" s="79"/>
      <c r="L471" s="77"/>
      <c r="M471" s="77"/>
      <c r="N471" s="79"/>
      <c r="O471" s="77"/>
      <c r="P471" s="77"/>
      <c r="Q471" s="79"/>
      <c r="R471" s="77"/>
    </row>
    <row r="472">
      <c r="A472" s="77"/>
      <c r="B472" s="77"/>
      <c r="C472" s="77"/>
      <c r="D472" s="77"/>
      <c r="E472" s="77"/>
      <c r="F472" s="101"/>
      <c r="G472" s="77"/>
      <c r="H472" s="79"/>
      <c r="I472" s="77"/>
      <c r="J472" s="77"/>
      <c r="K472" s="79"/>
      <c r="L472" s="77"/>
      <c r="M472" s="77"/>
      <c r="N472" s="79"/>
      <c r="O472" s="77"/>
      <c r="P472" s="77"/>
      <c r="Q472" s="79"/>
      <c r="R472" s="77"/>
    </row>
    <row r="473">
      <c r="A473" s="77"/>
      <c r="B473" s="77"/>
      <c r="C473" s="77"/>
      <c r="D473" s="77"/>
      <c r="E473" s="77"/>
      <c r="F473" s="101"/>
      <c r="G473" s="77"/>
      <c r="H473" s="79"/>
      <c r="I473" s="77"/>
      <c r="J473" s="77"/>
      <c r="K473" s="79"/>
      <c r="L473" s="77"/>
      <c r="M473" s="77"/>
      <c r="N473" s="79"/>
      <c r="O473" s="77"/>
      <c r="P473" s="77"/>
      <c r="Q473" s="79"/>
      <c r="R473" s="77"/>
    </row>
    <row r="474">
      <c r="A474" s="77"/>
      <c r="B474" s="77"/>
      <c r="C474" s="77"/>
      <c r="D474" s="77"/>
      <c r="E474" s="77"/>
      <c r="F474" s="101"/>
      <c r="G474" s="77"/>
      <c r="H474" s="79"/>
      <c r="I474" s="77"/>
      <c r="J474" s="77"/>
      <c r="K474" s="79"/>
      <c r="L474" s="77"/>
      <c r="M474" s="77"/>
      <c r="N474" s="79"/>
      <c r="O474" s="77"/>
      <c r="P474" s="77"/>
      <c r="Q474" s="79"/>
      <c r="R474" s="77"/>
    </row>
    <row r="475">
      <c r="A475" s="77"/>
      <c r="B475" s="77"/>
      <c r="C475" s="77"/>
      <c r="D475" s="77"/>
      <c r="E475" s="77"/>
      <c r="F475" s="101"/>
      <c r="G475" s="77"/>
      <c r="H475" s="79"/>
      <c r="I475" s="77"/>
      <c r="J475" s="77"/>
      <c r="K475" s="79"/>
      <c r="L475" s="77"/>
      <c r="M475" s="77"/>
      <c r="N475" s="79"/>
      <c r="O475" s="77"/>
      <c r="P475" s="77"/>
      <c r="Q475" s="79"/>
      <c r="R475" s="77"/>
    </row>
    <row r="476">
      <c r="A476" s="77"/>
      <c r="B476" s="77"/>
      <c r="C476" s="77"/>
      <c r="D476" s="77"/>
      <c r="E476" s="77"/>
      <c r="F476" s="101"/>
      <c r="G476" s="77"/>
      <c r="H476" s="79"/>
      <c r="I476" s="77"/>
      <c r="J476" s="77"/>
      <c r="K476" s="79"/>
      <c r="L476" s="77"/>
      <c r="M476" s="77"/>
      <c r="N476" s="79"/>
      <c r="O476" s="77"/>
      <c r="P476" s="77"/>
      <c r="Q476" s="79"/>
      <c r="R476" s="77"/>
    </row>
    <row r="477">
      <c r="A477" s="77"/>
      <c r="B477" s="77"/>
      <c r="C477" s="77"/>
      <c r="D477" s="77"/>
      <c r="E477" s="77"/>
      <c r="F477" s="101"/>
      <c r="G477" s="77"/>
      <c r="H477" s="79"/>
      <c r="I477" s="77"/>
      <c r="J477" s="77"/>
      <c r="K477" s="79"/>
      <c r="L477" s="77"/>
      <c r="M477" s="77"/>
      <c r="N477" s="79"/>
      <c r="O477" s="77"/>
      <c r="P477" s="77"/>
      <c r="Q477" s="79"/>
      <c r="R477" s="77"/>
    </row>
    <row r="478">
      <c r="A478" s="77"/>
      <c r="B478" s="77"/>
      <c r="C478" s="77"/>
      <c r="D478" s="77"/>
      <c r="E478" s="77"/>
      <c r="F478" s="101"/>
      <c r="G478" s="77"/>
      <c r="H478" s="79"/>
      <c r="I478" s="77"/>
      <c r="J478" s="77"/>
      <c r="K478" s="79"/>
      <c r="L478" s="77"/>
      <c r="M478" s="77"/>
      <c r="N478" s="79"/>
      <c r="O478" s="77"/>
      <c r="P478" s="77"/>
      <c r="Q478" s="79"/>
      <c r="R478" s="77"/>
    </row>
    <row r="479">
      <c r="A479" s="77"/>
      <c r="B479" s="77"/>
      <c r="C479" s="77"/>
      <c r="D479" s="77"/>
      <c r="E479" s="77"/>
      <c r="F479" s="101"/>
      <c r="G479" s="77"/>
      <c r="H479" s="79"/>
      <c r="I479" s="77"/>
      <c r="J479" s="77"/>
      <c r="K479" s="79"/>
      <c r="L479" s="77"/>
      <c r="M479" s="77"/>
      <c r="N479" s="79"/>
      <c r="O479" s="77"/>
      <c r="P479" s="77"/>
      <c r="Q479" s="79"/>
      <c r="R479" s="77"/>
    </row>
    <row r="480">
      <c r="A480" s="77"/>
      <c r="B480" s="77"/>
      <c r="C480" s="77"/>
      <c r="D480" s="77"/>
      <c r="E480" s="77"/>
      <c r="F480" s="101"/>
      <c r="G480" s="77"/>
      <c r="H480" s="79"/>
      <c r="I480" s="77"/>
      <c r="J480" s="77"/>
      <c r="K480" s="79"/>
      <c r="L480" s="77"/>
      <c r="M480" s="77"/>
      <c r="N480" s="79"/>
      <c r="O480" s="77"/>
      <c r="P480" s="77"/>
      <c r="Q480" s="79"/>
      <c r="R480" s="77"/>
    </row>
    <row r="481">
      <c r="A481" s="77"/>
      <c r="B481" s="77"/>
      <c r="C481" s="77"/>
      <c r="D481" s="77"/>
      <c r="E481" s="77"/>
      <c r="F481" s="101"/>
      <c r="G481" s="77"/>
      <c r="H481" s="79"/>
      <c r="I481" s="77"/>
      <c r="J481" s="77"/>
      <c r="K481" s="79"/>
      <c r="L481" s="77"/>
      <c r="M481" s="77"/>
      <c r="N481" s="79"/>
      <c r="O481" s="77"/>
      <c r="P481" s="77"/>
      <c r="Q481" s="79"/>
      <c r="R481" s="77"/>
    </row>
    <row r="482">
      <c r="A482" s="77"/>
      <c r="B482" s="77"/>
      <c r="C482" s="77"/>
      <c r="D482" s="77"/>
      <c r="E482" s="77"/>
      <c r="F482" s="101"/>
      <c r="G482" s="77"/>
      <c r="H482" s="79"/>
      <c r="I482" s="77"/>
      <c r="J482" s="77"/>
      <c r="K482" s="79"/>
      <c r="L482" s="77"/>
      <c r="M482" s="77"/>
      <c r="N482" s="79"/>
      <c r="O482" s="77"/>
      <c r="P482" s="77"/>
      <c r="Q482" s="79"/>
      <c r="R482" s="77"/>
    </row>
    <row r="483">
      <c r="A483" s="77"/>
      <c r="B483" s="77"/>
      <c r="C483" s="77"/>
      <c r="D483" s="77"/>
      <c r="E483" s="77"/>
      <c r="F483" s="101"/>
      <c r="G483" s="77"/>
      <c r="H483" s="79"/>
      <c r="I483" s="77"/>
      <c r="J483" s="77"/>
      <c r="K483" s="79"/>
      <c r="L483" s="77"/>
      <c r="M483" s="77"/>
      <c r="N483" s="79"/>
      <c r="O483" s="77"/>
      <c r="P483" s="77"/>
      <c r="Q483" s="79"/>
      <c r="R483" s="77"/>
    </row>
    <row r="484">
      <c r="A484" s="77"/>
      <c r="B484" s="77"/>
      <c r="C484" s="77"/>
      <c r="D484" s="77"/>
      <c r="E484" s="77"/>
      <c r="F484" s="101"/>
      <c r="G484" s="77"/>
      <c r="H484" s="79"/>
      <c r="I484" s="77"/>
      <c r="J484" s="77"/>
      <c r="K484" s="79"/>
      <c r="L484" s="77"/>
      <c r="M484" s="77"/>
      <c r="N484" s="79"/>
      <c r="O484" s="77"/>
      <c r="P484" s="77"/>
      <c r="Q484" s="79"/>
      <c r="R484" s="77"/>
    </row>
    <row r="485">
      <c r="A485" s="77"/>
      <c r="B485" s="77"/>
      <c r="C485" s="77"/>
      <c r="D485" s="77"/>
      <c r="E485" s="77"/>
      <c r="F485" s="101"/>
      <c r="G485" s="77"/>
      <c r="H485" s="79"/>
      <c r="I485" s="77"/>
      <c r="J485" s="77"/>
      <c r="K485" s="79"/>
      <c r="L485" s="77"/>
      <c r="M485" s="77"/>
      <c r="N485" s="79"/>
      <c r="O485" s="77"/>
      <c r="P485" s="77"/>
      <c r="Q485" s="79"/>
      <c r="R485" s="77"/>
    </row>
    <row r="486">
      <c r="A486" s="77"/>
      <c r="B486" s="77"/>
      <c r="C486" s="77"/>
      <c r="D486" s="77"/>
      <c r="E486" s="77"/>
      <c r="F486" s="101"/>
      <c r="G486" s="77"/>
      <c r="H486" s="79"/>
      <c r="I486" s="77"/>
      <c r="J486" s="77"/>
      <c r="K486" s="79"/>
      <c r="L486" s="77"/>
      <c r="M486" s="77"/>
      <c r="N486" s="79"/>
      <c r="O486" s="77"/>
      <c r="P486" s="77"/>
      <c r="Q486" s="79"/>
      <c r="R486" s="77"/>
    </row>
    <row r="487">
      <c r="A487" s="77"/>
      <c r="B487" s="77"/>
      <c r="C487" s="77"/>
      <c r="D487" s="77"/>
      <c r="E487" s="77"/>
      <c r="F487" s="101"/>
      <c r="G487" s="77"/>
      <c r="H487" s="79"/>
      <c r="I487" s="77"/>
      <c r="J487" s="77"/>
      <c r="K487" s="79"/>
      <c r="L487" s="77"/>
      <c r="M487" s="77"/>
      <c r="N487" s="79"/>
      <c r="O487" s="77"/>
      <c r="P487" s="77"/>
      <c r="Q487" s="79"/>
      <c r="R487" s="77"/>
    </row>
    <row r="488">
      <c r="A488" s="77"/>
      <c r="B488" s="77"/>
      <c r="C488" s="77"/>
      <c r="D488" s="77"/>
      <c r="E488" s="77"/>
      <c r="F488" s="101"/>
      <c r="G488" s="77"/>
      <c r="H488" s="79"/>
      <c r="I488" s="77"/>
      <c r="J488" s="77"/>
      <c r="K488" s="79"/>
      <c r="L488" s="77"/>
      <c r="M488" s="77"/>
      <c r="N488" s="79"/>
      <c r="O488" s="77"/>
      <c r="P488" s="77"/>
      <c r="Q488" s="79"/>
      <c r="R488" s="77"/>
    </row>
    <row r="489">
      <c r="A489" s="77"/>
      <c r="B489" s="77"/>
      <c r="C489" s="77"/>
      <c r="D489" s="77"/>
      <c r="E489" s="77"/>
      <c r="F489" s="101"/>
      <c r="G489" s="77"/>
      <c r="H489" s="79"/>
      <c r="I489" s="77"/>
      <c r="J489" s="77"/>
      <c r="K489" s="79"/>
      <c r="L489" s="77"/>
      <c r="M489" s="77"/>
      <c r="N489" s="79"/>
      <c r="O489" s="77"/>
      <c r="P489" s="77"/>
      <c r="Q489" s="79"/>
      <c r="R489" s="77"/>
    </row>
    <row r="490">
      <c r="A490" s="77"/>
      <c r="B490" s="77"/>
      <c r="C490" s="77"/>
      <c r="D490" s="77"/>
      <c r="E490" s="77"/>
      <c r="F490" s="101"/>
      <c r="G490" s="77"/>
      <c r="H490" s="79"/>
      <c r="I490" s="77"/>
      <c r="J490" s="77"/>
      <c r="K490" s="79"/>
      <c r="L490" s="77"/>
      <c r="M490" s="77"/>
      <c r="N490" s="79"/>
      <c r="O490" s="77"/>
      <c r="P490" s="77"/>
      <c r="Q490" s="79"/>
      <c r="R490" s="77"/>
    </row>
    <row r="491">
      <c r="A491" s="77"/>
      <c r="B491" s="77"/>
      <c r="C491" s="77"/>
      <c r="D491" s="77"/>
      <c r="E491" s="77"/>
      <c r="F491" s="101"/>
      <c r="G491" s="77"/>
      <c r="H491" s="79"/>
      <c r="I491" s="77"/>
      <c r="J491" s="77"/>
      <c r="K491" s="79"/>
      <c r="L491" s="77"/>
      <c r="M491" s="77"/>
      <c r="N491" s="79"/>
      <c r="O491" s="77"/>
      <c r="P491" s="77"/>
      <c r="Q491" s="79"/>
      <c r="R491" s="77"/>
    </row>
    <row r="492">
      <c r="A492" s="77"/>
      <c r="B492" s="77"/>
      <c r="C492" s="77"/>
      <c r="D492" s="77"/>
      <c r="E492" s="77"/>
      <c r="F492" s="101"/>
      <c r="G492" s="77"/>
      <c r="H492" s="79"/>
      <c r="I492" s="77"/>
      <c r="J492" s="77"/>
      <c r="K492" s="79"/>
      <c r="L492" s="77"/>
      <c r="M492" s="77"/>
      <c r="N492" s="79"/>
      <c r="O492" s="77"/>
      <c r="P492" s="77"/>
      <c r="Q492" s="79"/>
      <c r="R492" s="77"/>
    </row>
    <row r="493">
      <c r="A493" s="77"/>
      <c r="B493" s="77"/>
      <c r="C493" s="77"/>
      <c r="D493" s="77"/>
      <c r="E493" s="77"/>
      <c r="F493" s="101"/>
      <c r="G493" s="77"/>
      <c r="H493" s="79"/>
      <c r="I493" s="77"/>
      <c r="J493" s="77"/>
      <c r="K493" s="79"/>
      <c r="L493" s="77"/>
      <c r="M493" s="77"/>
      <c r="N493" s="79"/>
      <c r="O493" s="77"/>
      <c r="P493" s="77"/>
      <c r="Q493" s="79"/>
      <c r="R493" s="77"/>
    </row>
    <row r="494">
      <c r="A494" s="77"/>
      <c r="B494" s="77"/>
      <c r="C494" s="77"/>
      <c r="D494" s="77"/>
      <c r="E494" s="77"/>
      <c r="F494" s="101"/>
      <c r="G494" s="77"/>
      <c r="H494" s="79"/>
      <c r="I494" s="77"/>
      <c r="J494" s="77"/>
      <c r="K494" s="79"/>
      <c r="L494" s="77"/>
      <c r="M494" s="77"/>
      <c r="N494" s="79"/>
      <c r="O494" s="77"/>
      <c r="P494" s="77"/>
      <c r="Q494" s="79"/>
      <c r="R494" s="77"/>
    </row>
    <row r="495">
      <c r="A495" s="77"/>
      <c r="B495" s="77"/>
      <c r="C495" s="77"/>
      <c r="D495" s="77"/>
      <c r="E495" s="77"/>
      <c r="F495" s="101"/>
      <c r="G495" s="77"/>
      <c r="H495" s="79"/>
      <c r="I495" s="77"/>
      <c r="J495" s="77"/>
      <c r="K495" s="79"/>
      <c r="L495" s="77"/>
      <c r="M495" s="77"/>
      <c r="N495" s="79"/>
      <c r="O495" s="77"/>
      <c r="P495" s="77"/>
      <c r="Q495" s="79"/>
      <c r="R495" s="77"/>
    </row>
    <row r="496">
      <c r="A496" s="77"/>
      <c r="B496" s="77"/>
      <c r="C496" s="77"/>
      <c r="D496" s="77"/>
      <c r="E496" s="77"/>
      <c r="F496" s="101"/>
      <c r="G496" s="77"/>
      <c r="H496" s="79"/>
      <c r="I496" s="77"/>
      <c r="J496" s="77"/>
      <c r="K496" s="79"/>
      <c r="L496" s="77"/>
      <c r="M496" s="77"/>
      <c r="N496" s="79"/>
      <c r="O496" s="77"/>
      <c r="P496" s="77"/>
      <c r="Q496" s="79"/>
      <c r="R496" s="77"/>
    </row>
    <row r="497">
      <c r="A497" s="77"/>
      <c r="B497" s="77"/>
      <c r="C497" s="77"/>
      <c r="D497" s="77"/>
      <c r="E497" s="77"/>
      <c r="F497" s="101"/>
      <c r="G497" s="77"/>
      <c r="H497" s="79"/>
      <c r="I497" s="77"/>
      <c r="J497" s="77"/>
      <c r="K497" s="79"/>
      <c r="L497" s="77"/>
      <c r="M497" s="77"/>
      <c r="N497" s="79"/>
      <c r="O497" s="77"/>
      <c r="P497" s="77"/>
      <c r="Q497" s="79"/>
      <c r="R497" s="77"/>
    </row>
    <row r="498">
      <c r="A498" s="77"/>
      <c r="B498" s="77"/>
      <c r="C498" s="77"/>
      <c r="D498" s="77"/>
      <c r="E498" s="77"/>
      <c r="F498" s="101"/>
      <c r="G498" s="77"/>
      <c r="H498" s="79"/>
      <c r="I498" s="77"/>
      <c r="J498" s="77"/>
      <c r="K498" s="79"/>
      <c r="L498" s="77"/>
      <c r="M498" s="77"/>
      <c r="N498" s="79"/>
      <c r="O498" s="77"/>
      <c r="P498" s="77"/>
      <c r="Q498" s="79"/>
      <c r="R498" s="77"/>
    </row>
    <row r="499">
      <c r="A499" s="77"/>
      <c r="B499" s="77"/>
      <c r="C499" s="77"/>
      <c r="D499" s="77"/>
      <c r="E499" s="77"/>
      <c r="F499" s="101"/>
      <c r="G499" s="77"/>
      <c r="H499" s="79"/>
      <c r="I499" s="77"/>
      <c r="J499" s="77"/>
      <c r="K499" s="79"/>
      <c r="L499" s="77"/>
      <c r="M499" s="77"/>
      <c r="N499" s="79"/>
      <c r="O499" s="77"/>
      <c r="P499" s="77"/>
      <c r="Q499" s="79"/>
      <c r="R499" s="77"/>
    </row>
    <row r="500">
      <c r="A500" s="77"/>
      <c r="B500" s="77"/>
      <c r="C500" s="77"/>
      <c r="D500" s="77"/>
      <c r="E500" s="77"/>
      <c r="F500" s="101"/>
      <c r="G500" s="77"/>
      <c r="H500" s="79"/>
      <c r="I500" s="77"/>
      <c r="J500" s="77"/>
      <c r="K500" s="79"/>
      <c r="L500" s="77"/>
      <c r="M500" s="77"/>
      <c r="N500" s="79"/>
      <c r="O500" s="77"/>
      <c r="P500" s="77"/>
      <c r="Q500" s="79"/>
      <c r="R500" s="77"/>
    </row>
    <row r="501">
      <c r="A501" s="77"/>
      <c r="B501" s="77"/>
      <c r="C501" s="77"/>
      <c r="D501" s="77"/>
      <c r="E501" s="77"/>
      <c r="F501" s="101"/>
      <c r="G501" s="77"/>
      <c r="H501" s="79"/>
      <c r="I501" s="77"/>
      <c r="J501" s="77"/>
      <c r="K501" s="79"/>
      <c r="L501" s="77"/>
      <c r="M501" s="77"/>
      <c r="N501" s="79"/>
      <c r="O501" s="77"/>
      <c r="P501" s="77"/>
      <c r="Q501" s="79"/>
      <c r="R501" s="77"/>
    </row>
    <row r="502">
      <c r="A502" s="77"/>
      <c r="B502" s="77"/>
      <c r="C502" s="77"/>
      <c r="D502" s="77"/>
      <c r="E502" s="77"/>
      <c r="F502" s="101"/>
      <c r="G502" s="77"/>
      <c r="H502" s="79"/>
      <c r="I502" s="77"/>
      <c r="J502" s="77"/>
      <c r="K502" s="79"/>
      <c r="L502" s="77"/>
      <c r="M502" s="77"/>
      <c r="N502" s="79"/>
      <c r="O502" s="77"/>
      <c r="P502" s="77"/>
      <c r="Q502" s="79"/>
      <c r="R502" s="77"/>
    </row>
    <row r="503">
      <c r="A503" s="77"/>
      <c r="B503" s="77"/>
      <c r="C503" s="77"/>
      <c r="D503" s="77"/>
      <c r="E503" s="77"/>
      <c r="F503" s="101"/>
      <c r="G503" s="77"/>
      <c r="H503" s="79"/>
      <c r="I503" s="77"/>
      <c r="J503" s="77"/>
      <c r="K503" s="79"/>
      <c r="L503" s="77"/>
      <c r="M503" s="77"/>
      <c r="N503" s="79"/>
      <c r="O503" s="77"/>
      <c r="P503" s="77"/>
      <c r="Q503" s="79"/>
      <c r="R503" s="77"/>
    </row>
    <row r="504">
      <c r="A504" s="77"/>
      <c r="B504" s="77"/>
      <c r="C504" s="77"/>
      <c r="D504" s="77"/>
      <c r="E504" s="77"/>
      <c r="F504" s="101"/>
      <c r="G504" s="77"/>
      <c r="H504" s="79"/>
      <c r="I504" s="77"/>
      <c r="J504" s="77"/>
      <c r="K504" s="79"/>
      <c r="L504" s="77"/>
      <c r="M504" s="77"/>
      <c r="N504" s="79"/>
      <c r="O504" s="77"/>
      <c r="P504" s="77"/>
      <c r="Q504" s="79"/>
      <c r="R504" s="77"/>
    </row>
    <row r="505">
      <c r="A505" s="77"/>
      <c r="B505" s="77"/>
      <c r="C505" s="77"/>
      <c r="D505" s="77"/>
      <c r="E505" s="77"/>
      <c r="F505" s="101"/>
      <c r="G505" s="77"/>
      <c r="H505" s="79"/>
      <c r="I505" s="77"/>
      <c r="J505" s="77"/>
      <c r="K505" s="79"/>
      <c r="L505" s="77"/>
      <c r="M505" s="77"/>
      <c r="N505" s="79"/>
      <c r="O505" s="77"/>
      <c r="P505" s="77"/>
      <c r="Q505" s="79"/>
      <c r="R505" s="77"/>
    </row>
    <row r="506">
      <c r="A506" s="77"/>
      <c r="B506" s="77"/>
      <c r="C506" s="77"/>
      <c r="D506" s="77"/>
      <c r="E506" s="77"/>
      <c r="F506" s="101"/>
      <c r="G506" s="77"/>
      <c r="H506" s="79"/>
      <c r="I506" s="77"/>
      <c r="J506" s="77"/>
      <c r="K506" s="79"/>
      <c r="L506" s="77"/>
      <c r="M506" s="77"/>
      <c r="N506" s="79"/>
      <c r="O506" s="77"/>
      <c r="P506" s="77"/>
      <c r="Q506" s="79"/>
      <c r="R506" s="77"/>
    </row>
    <row r="507">
      <c r="A507" s="77"/>
      <c r="B507" s="77"/>
      <c r="C507" s="77"/>
      <c r="D507" s="77"/>
      <c r="E507" s="77"/>
      <c r="F507" s="101"/>
      <c r="G507" s="77"/>
      <c r="H507" s="79"/>
      <c r="I507" s="77"/>
      <c r="J507" s="77"/>
      <c r="K507" s="79"/>
      <c r="L507" s="77"/>
      <c r="M507" s="77"/>
      <c r="N507" s="79"/>
      <c r="O507" s="77"/>
      <c r="P507" s="77"/>
      <c r="Q507" s="79"/>
      <c r="R507" s="77"/>
    </row>
    <row r="508">
      <c r="A508" s="77"/>
      <c r="B508" s="77"/>
      <c r="C508" s="77"/>
      <c r="D508" s="77"/>
      <c r="E508" s="77"/>
      <c r="F508" s="101"/>
      <c r="G508" s="77"/>
      <c r="H508" s="79"/>
      <c r="I508" s="77"/>
      <c r="J508" s="77"/>
      <c r="K508" s="79"/>
      <c r="L508" s="77"/>
      <c r="M508" s="77"/>
      <c r="N508" s="79"/>
      <c r="O508" s="77"/>
      <c r="P508" s="77"/>
      <c r="Q508" s="79"/>
      <c r="R508" s="77"/>
    </row>
    <row r="509">
      <c r="A509" s="77"/>
      <c r="B509" s="77"/>
      <c r="C509" s="77"/>
      <c r="D509" s="77"/>
      <c r="E509" s="77"/>
      <c r="F509" s="101"/>
      <c r="G509" s="77"/>
      <c r="H509" s="79"/>
      <c r="I509" s="77"/>
      <c r="J509" s="77"/>
      <c r="K509" s="79"/>
      <c r="L509" s="77"/>
      <c r="M509" s="77"/>
      <c r="N509" s="79"/>
      <c r="O509" s="77"/>
      <c r="P509" s="77"/>
      <c r="Q509" s="79"/>
      <c r="R509" s="77"/>
    </row>
    <row r="510">
      <c r="A510" s="77"/>
      <c r="B510" s="77"/>
      <c r="C510" s="77"/>
      <c r="D510" s="77"/>
      <c r="E510" s="77"/>
      <c r="F510" s="101"/>
      <c r="G510" s="77"/>
      <c r="H510" s="79"/>
      <c r="I510" s="77"/>
      <c r="J510" s="77"/>
      <c r="K510" s="79"/>
      <c r="L510" s="77"/>
      <c r="M510" s="77"/>
      <c r="N510" s="79"/>
      <c r="O510" s="77"/>
      <c r="P510" s="77"/>
      <c r="Q510" s="79"/>
      <c r="R510" s="77"/>
    </row>
    <row r="511">
      <c r="A511" s="77"/>
      <c r="B511" s="77"/>
      <c r="C511" s="77"/>
      <c r="D511" s="77"/>
      <c r="E511" s="77"/>
      <c r="F511" s="101"/>
      <c r="G511" s="77"/>
      <c r="H511" s="79"/>
      <c r="I511" s="77"/>
      <c r="J511" s="77"/>
      <c r="K511" s="79"/>
      <c r="L511" s="77"/>
      <c r="M511" s="77"/>
      <c r="N511" s="79"/>
      <c r="O511" s="77"/>
      <c r="P511" s="77"/>
      <c r="Q511" s="79"/>
      <c r="R511" s="77"/>
    </row>
    <row r="512">
      <c r="A512" s="77"/>
      <c r="B512" s="77"/>
      <c r="C512" s="77"/>
      <c r="D512" s="77"/>
      <c r="E512" s="77"/>
      <c r="F512" s="101"/>
      <c r="G512" s="77"/>
      <c r="H512" s="79"/>
      <c r="I512" s="77"/>
      <c r="J512" s="77"/>
      <c r="K512" s="79"/>
      <c r="L512" s="77"/>
      <c r="M512" s="77"/>
      <c r="N512" s="79"/>
      <c r="O512" s="77"/>
      <c r="P512" s="77"/>
      <c r="Q512" s="79"/>
      <c r="R512" s="77"/>
    </row>
    <row r="513">
      <c r="A513" s="77"/>
      <c r="B513" s="77"/>
      <c r="C513" s="77"/>
      <c r="D513" s="77"/>
      <c r="E513" s="77"/>
      <c r="F513" s="101"/>
      <c r="G513" s="77"/>
      <c r="H513" s="79"/>
      <c r="I513" s="77"/>
      <c r="J513" s="77"/>
      <c r="K513" s="79"/>
      <c r="L513" s="77"/>
      <c r="M513" s="77"/>
      <c r="N513" s="79"/>
      <c r="O513" s="77"/>
      <c r="P513" s="77"/>
      <c r="Q513" s="79"/>
      <c r="R513" s="77"/>
    </row>
    <row r="514">
      <c r="A514" s="77"/>
      <c r="B514" s="77"/>
      <c r="C514" s="77"/>
      <c r="D514" s="77"/>
      <c r="E514" s="77"/>
      <c r="F514" s="101"/>
      <c r="G514" s="77"/>
      <c r="H514" s="79"/>
      <c r="I514" s="77"/>
      <c r="J514" s="77"/>
      <c r="K514" s="79"/>
      <c r="L514" s="77"/>
      <c r="M514" s="77"/>
      <c r="N514" s="79"/>
      <c r="O514" s="77"/>
      <c r="P514" s="77"/>
      <c r="Q514" s="79"/>
      <c r="R514" s="77"/>
    </row>
    <row r="515">
      <c r="A515" s="77"/>
      <c r="B515" s="77"/>
      <c r="C515" s="77"/>
      <c r="D515" s="77"/>
      <c r="E515" s="77"/>
      <c r="F515" s="101"/>
      <c r="G515" s="77"/>
      <c r="H515" s="79"/>
      <c r="I515" s="77"/>
      <c r="J515" s="77"/>
      <c r="K515" s="79"/>
      <c r="L515" s="77"/>
      <c r="M515" s="77"/>
      <c r="N515" s="79"/>
      <c r="O515" s="77"/>
      <c r="P515" s="77"/>
      <c r="Q515" s="79"/>
      <c r="R515" s="77"/>
    </row>
    <row r="516">
      <c r="A516" s="77"/>
      <c r="B516" s="77"/>
      <c r="C516" s="77"/>
      <c r="D516" s="77"/>
      <c r="E516" s="77"/>
      <c r="F516" s="101"/>
      <c r="G516" s="77"/>
      <c r="H516" s="79"/>
      <c r="I516" s="77"/>
      <c r="J516" s="77"/>
      <c r="K516" s="79"/>
      <c r="L516" s="77"/>
      <c r="M516" s="77"/>
      <c r="N516" s="79"/>
      <c r="O516" s="77"/>
      <c r="P516" s="77"/>
      <c r="Q516" s="79"/>
      <c r="R516" s="77"/>
    </row>
    <row r="517">
      <c r="A517" s="77"/>
      <c r="B517" s="77"/>
      <c r="C517" s="77"/>
      <c r="D517" s="77"/>
      <c r="E517" s="77"/>
      <c r="F517" s="101"/>
      <c r="G517" s="77"/>
      <c r="H517" s="79"/>
      <c r="I517" s="77"/>
      <c r="J517" s="77"/>
      <c r="K517" s="79"/>
      <c r="L517" s="77"/>
      <c r="M517" s="77"/>
      <c r="N517" s="79"/>
      <c r="O517" s="77"/>
      <c r="P517" s="77"/>
      <c r="Q517" s="79"/>
      <c r="R517" s="77"/>
    </row>
    <row r="518">
      <c r="A518" s="77"/>
      <c r="B518" s="77"/>
      <c r="C518" s="77"/>
      <c r="D518" s="77"/>
      <c r="E518" s="77"/>
      <c r="F518" s="101"/>
      <c r="G518" s="77"/>
      <c r="H518" s="79"/>
      <c r="I518" s="77"/>
      <c r="J518" s="77"/>
      <c r="K518" s="79"/>
      <c r="L518" s="77"/>
      <c r="M518" s="77"/>
      <c r="N518" s="79"/>
      <c r="O518" s="77"/>
      <c r="P518" s="77"/>
      <c r="Q518" s="79"/>
      <c r="R518" s="77"/>
    </row>
    <row r="519">
      <c r="A519" s="77"/>
      <c r="B519" s="77"/>
      <c r="C519" s="77"/>
      <c r="D519" s="77"/>
      <c r="E519" s="77"/>
      <c r="F519" s="101"/>
      <c r="G519" s="77"/>
      <c r="H519" s="79"/>
      <c r="I519" s="77"/>
      <c r="J519" s="77"/>
      <c r="K519" s="79"/>
      <c r="L519" s="77"/>
      <c r="M519" s="77"/>
      <c r="N519" s="79"/>
      <c r="O519" s="77"/>
      <c r="P519" s="77"/>
      <c r="Q519" s="79"/>
      <c r="R519" s="77"/>
    </row>
    <row r="520">
      <c r="A520" s="77"/>
      <c r="B520" s="77"/>
      <c r="C520" s="77"/>
      <c r="D520" s="77"/>
      <c r="E520" s="77"/>
      <c r="F520" s="101"/>
      <c r="G520" s="77"/>
      <c r="H520" s="79"/>
      <c r="I520" s="77"/>
      <c r="J520" s="77"/>
      <c r="K520" s="79"/>
      <c r="L520" s="77"/>
      <c r="M520" s="77"/>
      <c r="N520" s="79"/>
      <c r="O520" s="77"/>
      <c r="P520" s="77"/>
      <c r="Q520" s="79"/>
      <c r="R520" s="77"/>
    </row>
    <row r="521">
      <c r="A521" s="77"/>
      <c r="B521" s="77"/>
      <c r="C521" s="77"/>
      <c r="D521" s="77"/>
      <c r="E521" s="77"/>
      <c r="F521" s="101"/>
      <c r="G521" s="77"/>
      <c r="H521" s="79"/>
      <c r="I521" s="77"/>
      <c r="J521" s="77"/>
      <c r="K521" s="79"/>
      <c r="L521" s="77"/>
      <c r="M521" s="77"/>
      <c r="N521" s="79"/>
      <c r="O521" s="77"/>
      <c r="P521" s="77"/>
      <c r="Q521" s="79"/>
      <c r="R521" s="77"/>
    </row>
    <row r="522">
      <c r="A522" s="77"/>
      <c r="B522" s="77"/>
      <c r="C522" s="77"/>
      <c r="D522" s="77"/>
      <c r="E522" s="77"/>
      <c r="F522" s="101"/>
      <c r="G522" s="77"/>
      <c r="H522" s="79"/>
      <c r="I522" s="77"/>
      <c r="J522" s="77"/>
      <c r="K522" s="79"/>
      <c r="L522" s="77"/>
      <c r="M522" s="77"/>
      <c r="N522" s="79"/>
      <c r="O522" s="77"/>
      <c r="P522" s="77"/>
      <c r="Q522" s="79"/>
      <c r="R522" s="77"/>
    </row>
    <row r="523">
      <c r="A523" s="77"/>
      <c r="B523" s="77"/>
      <c r="C523" s="77"/>
      <c r="D523" s="77"/>
      <c r="E523" s="77"/>
      <c r="F523" s="101"/>
      <c r="G523" s="77"/>
      <c r="H523" s="79"/>
      <c r="I523" s="77"/>
      <c r="J523" s="77"/>
      <c r="K523" s="79"/>
      <c r="L523" s="77"/>
      <c r="M523" s="77"/>
      <c r="N523" s="79"/>
      <c r="O523" s="77"/>
      <c r="P523" s="77"/>
      <c r="Q523" s="79"/>
      <c r="R523" s="77"/>
    </row>
    <row r="524">
      <c r="A524" s="77"/>
      <c r="B524" s="77"/>
      <c r="C524" s="77"/>
      <c r="D524" s="77"/>
      <c r="E524" s="77"/>
      <c r="F524" s="101"/>
      <c r="G524" s="77"/>
      <c r="H524" s="79"/>
      <c r="I524" s="77"/>
      <c r="J524" s="77"/>
      <c r="K524" s="79"/>
      <c r="L524" s="77"/>
      <c r="M524" s="77"/>
      <c r="N524" s="79"/>
      <c r="O524" s="77"/>
      <c r="P524" s="77"/>
      <c r="Q524" s="79"/>
      <c r="R524" s="77"/>
    </row>
    <row r="525">
      <c r="A525" s="77"/>
      <c r="B525" s="77"/>
      <c r="C525" s="77"/>
      <c r="D525" s="77"/>
      <c r="E525" s="77"/>
      <c r="F525" s="101"/>
      <c r="G525" s="77"/>
      <c r="H525" s="79"/>
      <c r="I525" s="77"/>
      <c r="J525" s="77"/>
      <c r="K525" s="79"/>
      <c r="L525" s="77"/>
      <c r="M525" s="77"/>
      <c r="N525" s="79"/>
      <c r="O525" s="77"/>
      <c r="P525" s="77"/>
      <c r="Q525" s="79"/>
      <c r="R525" s="77"/>
    </row>
    <row r="526">
      <c r="A526" s="77"/>
      <c r="B526" s="77"/>
      <c r="C526" s="77"/>
      <c r="D526" s="77"/>
      <c r="E526" s="77"/>
      <c r="F526" s="101"/>
      <c r="G526" s="77"/>
      <c r="H526" s="79"/>
      <c r="I526" s="77"/>
      <c r="J526" s="77"/>
      <c r="K526" s="79"/>
      <c r="L526" s="77"/>
      <c r="M526" s="77"/>
      <c r="N526" s="79"/>
      <c r="O526" s="77"/>
      <c r="P526" s="77"/>
      <c r="Q526" s="79"/>
      <c r="R526" s="77"/>
    </row>
    <row r="527">
      <c r="A527" s="77"/>
      <c r="B527" s="77"/>
      <c r="C527" s="77"/>
      <c r="D527" s="77"/>
      <c r="E527" s="77"/>
      <c r="F527" s="101"/>
      <c r="G527" s="77"/>
      <c r="H527" s="79"/>
      <c r="I527" s="77"/>
      <c r="J527" s="77"/>
      <c r="K527" s="79"/>
      <c r="L527" s="77"/>
      <c r="M527" s="77"/>
      <c r="N527" s="79"/>
      <c r="O527" s="77"/>
      <c r="P527" s="77"/>
      <c r="Q527" s="79"/>
      <c r="R527" s="77"/>
    </row>
    <row r="528">
      <c r="A528" s="77"/>
      <c r="B528" s="77"/>
      <c r="C528" s="77"/>
      <c r="D528" s="77"/>
      <c r="E528" s="77"/>
      <c r="F528" s="101"/>
      <c r="G528" s="77"/>
      <c r="H528" s="79"/>
      <c r="I528" s="77"/>
      <c r="J528" s="77"/>
      <c r="K528" s="79"/>
      <c r="L528" s="77"/>
      <c r="M528" s="77"/>
      <c r="N528" s="79"/>
      <c r="O528" s="77"/>
      <c r="P528" s="77"/>
      <c r="Q528" s="79"/>
      <c r="R528" s="77"/>
    </row>
    <row r="529">
      <c r="A529" s="77"/>
      <c r="B529" s="77"/>
      <c r="C529" s="77"/>
      <c r="D529" s="77"/>
      <c r="E529" s="77"/>
      <c r="F529" s="101"/>
      <c r="G529" s="77"/>
      <c r="H529" s="79"/>
      <c r="I529" s="77"/>
      <c r="J529" s="77"/>
      <c r="K529" s="79"/>
      <c r="L529" s="77"/>
      <c r="M529" s="77"/>
      <c r="N529" s="79"/>
      <c r="O529" s="77"/>
      <c r="P529" s="77"/>
      <c r="Q529" s="79"/>
      <c r="R529" s="77"/>
    </row>
    <row r="530">
      <c r="A530" s="77"/>
      <c r="B530" s="77"/>
      <c r="C530" s="77"/>
      <c r="D530" s="77"/>
      <c r="E530" s="77"/>
      <c r="F530" s="101"/>
      <c r="G530" s="77"/>
      <c r="H530" s="79"/>
      <c r="I530" s="77"/>
      <c r="J530" s="77"/>
      <c r="K530" s="79"/>
      <c r="L530" s="77"/>
      <c r="M530" s="77"/>
      <c r="N530" s="79"/>
      <c r="O530" s="77"/>
      <c r="P530" s="77"/>
      <c r="Q530" s="79"/>
      <c r="R530" s="77"/>
    </row>
    <row r="531">
      <c r="A531" s="77"/>
      <c r="B531" s="77"/>
      <c r="C531" s="77"/>
      <c r="D531" s="77"/>
      <c r="E531" s="77"/>
      <c r="F531" s="101"/>
      <c r="G531" s="77"/>
      <c r="H531" s="79"/>
      <c r="I531" s="77"/>
      <c r="J531" s="77"/>
      <c r="K531" s="79"/>
      <c r="L531" s="77"/>
      <c r="M531" s="77"/>
      <c r="N531" s="79"/>
      <c r="O531" s="77"/>
      <c r="P531" s="77"/>
      <c r="Q531" s="79"/>
      <c r="R531" s="77"/>
    </row>
    <row r="532">
      <c r="A532" s="77"/>
      <c r="B532" s="77"/>
      <c r="C532" s="77"/>
      <c r="D532" s="77"/>
      <c r="E532" s="77"/>
      <c r="F532" s="101"/>
      <c r="G532" s="77"/>
      <c r="H532" s="79"/>
      <c r="I532" s="77"/>
      <c r="J532" s="77"/>
      <c r="K532" s="79"/>
      <c r="L532" s="77"/>
      <c r="M532" s="77"/>
      <c r="N532" s="79"/>
      <c r="O532" s="77"/>
      <c r="P532" s="77"/>
      <c r="Q532" s="79"/>
      <c r="R532" s="77"/>
    </row>
    <row r="533">
      <c r="A533" s="77"/>
      <c r="B533" s="77"/>
      <c r="C533" s="77"/>
      <c r="D533" s="77"/>
      <c r="E533" s="77"/>
      <c r="F533" s="101"/>
      <c r="G533" s="77"/>
      <c r="H533" s="79"/>
      <c r="I533" s="77"/>
      <c r="J533" s="77"/>
      <c r="K533" s="79"/>
      <c r="L533" s="77"/>
      <c r="M533" s="77"/>
      <c r="N533" s="79"/>
      <c r="O533" s="77"/>
      <c r="P533" s="77"/>
      <c r="Q533" s="79"/>
      <c r="R533" s="77"/>
    </row>
    <row r="534">
      <c r="A534" s="77"/>
      <c r="B534" s="77"/>
      <c r="C534" s="77"/>
      <c r="D534" s="77"/>
      <c r="E534" s="77"/>
      <c r="F534" s="101"/>
      <c r="G534" s="77"/>
      <c r="H534" s="79"/>
      <c r="I534" s="77"/>
      <c r="J534" s="77"/>
      <c r="K534" s="79"/>
      <c r="L534" s="77"/>
      <c r="M534" s="77"/>
      <c r="N534" s="79"/>
      <c r="O534" s="77"/>
      <c r="P534" s="77"/>
      <c r="Q534" s="79"/>
      <c r="R534" s="77"/>
    </row>
    <row r="535">
      <c r="A535" s="77"/>
      <c r="B535" s="77"/>
      <c r="C535" s="77"/>
      <c r="D535" s="77"/>
      <c r="E535" s="77"/>
      <c r="F535" s="101"/>
      <c r="G535" s="77"/>
      <c r="H535" s="79"/>
      <c r="I535" s="77"/>
      <c r="J535" s="77"/>
      <c r="K535" s="79"/>
      <c r="L535" s="77"/>
      <c r="M535" s="77"/>
      <c r="N535" s="79"/>
      <c r="O535" s="77"/>
      <c r="P535" s="77"/>
      <c r="Q535" s="79"/>
      <c r="R535" s="77"/>
    </row>
    <row r="536">
      <c r="A536" s="77"/>
      <c r="B536" s="77"/>
      <c r="C536" s="77"/>
      <c r="D536" s="77"/>
      <c r="E536" s="77"/>
      <c r="F536" s="101"/>
      <c r="G536" s="77"/>
      <c r="H536" s="79"/>
      <c r="I536" s="77"/>
      <c r="J536" s="77"/>
      <c r="K536" s="79"/>
      <c r="L536" s="77"/>
      <c r="M536" s="77"/>
      <c r="N536" s="79"/>
      <c r="O536" s="77"/>
      <c r="P536" s="77"/>
      <c r="Q536" s="79"/>
      <c r="R536" s="77"/>
    </row>
    <row r="537">
      <c r="A537" s="77"/>
      <c r="B537" s="77"/>
      <c r="C537" s="77"/>
      <c r="D537" s="77"/>
      <c r="E537" s="77"/>
      <c r="F537" s="101"/>
      <c r="G537" s="77"/>
      <c r="H537" s="79"/>
      <c r="I537" s="77"/>
      <c r="J537" s="77"/>
      <c r="K537" s="79"/>
      <c r="L537" s="77"/>
      <c r="M537" s="77"/>
      <c r="N537" s="79"/>
      <c r="O537" s="77"/>
      <c r="P537" s="77"/>
      <c r="Q537" s="79"/>
      <c r="R537" s="77"/>
    </row>
    <row r="538">
      <c r="A538" s="77"/>
      <c r="B538" s="77"/>
      <c r="C538" s="77"/>
      <c r="D538" s="77"/>
      <c r="E538" s="77"/>
      <c r="F538" s="101"/>
      <c r="G538" s="77"/>
      <c r="H538" s="79"/>
      <c r="I538" s="77"/>
      <c r="J538" s="77"/>
      <c r="K538" s="79"/>
      <c r="L538" s="77"/>
      <c r="M538" s="77"/>
      <c r="N538" s="79"/>
      <c r="O538" s="77"/>
      <c r="P538" s="77"/>
      <c r="Q538" s="79"/>
      <c r="R538" s="77"/>
    </row>
    <row r="539">
      <c r="A539" s="77"/>
      <c r="B539" s="77"/>
      <c r="C539" s="77"/>
      <c r="D539" s="77"/>
      <c r="E539" s="77"/>
      <c r="F539" s="101"/>
      <c r="G539" s="77"/>
      <c r="H539" s="79"/>
      <c r="I539" s="77"/>
      <c r="J539" s="77"/>
      <c r="K539" s="79"/>
      <c r="L539" s="77"/>
      <c r="M539" s="77"/>
      <c r="N539" s="79"/>
      <c r="O539" s="77"/>
      <c r="P539" s="77"/>
      <c r="Q539" s="79"/>
      <c r="R539" s="77"/>
    </row>
    <row r="540">
      <c r="A540" s="77"/>
      <c r="B540" s="77"/>
      <c r="C540" s="77"/>
      <c r="D540" s="77"/>
      <c r="E540" s="77"/>
      <c r="F540" s="101"/>
      <c r="G540" s="77"/>
      <c r="H540" s="79"/>
      <c r="I540" s="77"/>
      <c r="J540" s="77"/>
      <c r="K540" s="79"/>
      <c r="L540" s="77"/>
      <c r="M540" s="77"/>
      <c r="N540" s="79"/>
      <c r="O540" s="77"/>
      <c r="P540" s="77"/>
      <c r="Q540" s="79"/>
      <c r="R540" s="77"/>
    </row>
    <row r="541">
      <c r="A541" s="77"/>
      <c r="B541" s="77"/>
      <c r="C541" s="77"/>
      <c r="D541" s="77"/>
      <c r="E541" s="77"/>
      <c r="F541" s="101"/>
      <c r="G541" s="77"/>
      <c r="H541" s="79"/>
      <c r="I541" s="77"/>
      <c r="J541" s="77"/>
      <c r="K541" s="79"/>
      <c r="L541" s="77"/>
      <c r="M541" s="77"/>
      <c r="N541" s="79"/>
      <c r="O541" s="77"/>
      <c r="P541" s="77"/>
      <c r="Q541" s="79"/>
      <c r="R541" s="77"/>
    </row>
    <row r="542">
      <c r="A542" s="77"/>
      <c r="B542" s="77"/>
      <c r="C542" s="77"/>
      <c r="D542" s="77"/>
      <c r="E542" s="77"/>
      <c r="F542" s="101"/>
      <c r="G542" s="77"/>
      <c r="H542" s="79"/>
      <c r="I542" s="77"/>
      <c r="J542" s="77"/>
      <c r="K542" s="79"/>
      <c r="L542" s="77"/>
      <c r="M542" s="77"/>
      <c r="N542" s="79"/>
      <c r="O542" s="77"/>
      <c r="P542" s="77"/>
      <c r="Q542" s="79"/>
      <c r="R542" s="77"/>
    </row>
    <row r="543">
      <c r="A543" s="77"/>
      <c r="B543" s="77"/>
      <c r="C543" s="77"/>
      <c r="D543" s="77"/>
      <c r="E543" s="77"/>
      <c r="F543" s="101"/>
      <c r="G543" s="77"/>
      <c r="H543" s="79"/>
      <c r="I543" s="77"/>
      <c r="J543" s="77"/>
      <c r="K543" s="79"/>
      <c r="L543" s="77"/>
      <c r="M543" s="77"/>
      <c r="N543" s="79"/>
      <c r="O543" s="77"/>
      <c r="P543" s="77"/>
      <c r="Q543" s="79"/>
      <c r="R543" s="77"/>
    </row>
    <row r="544">
      <c r="A544" s="77"/>
      <c r="B544" s="77"/>
      <c r="C544" s="77"/>
      <c r="D544" s="77"/>
      <c r="E544" s="77"/>
      <c r="F544" s="101"/>
      <c r="G544" s="77"/>
      <c r="H544" s="79"/>
      <c r="I544" s="77"/>
      <c r="J544" s="77"/>
      <c r="K544" s="79"/>
      <c r="L544" s="77"/>
      <c r="M544" s="77"/>
      <c r="N544" s="79"/>
      <c r="O544" s="77"/>
      <c r="P544" s="77"/>
      <c r="Q544" s="79"/>
      <c r="R544" s="77"/>
    </row>
    <row r="545">
      <c r="A545" s="77"/>
      <c r="B545" s="77"/>
      <c r="C545" s="77"/>
      <c r="D545" s="77"/>
      <c r="E545" s="77"/>
      <c r="F545" s="101"/>
      <c r="G545" s="77"/>
      <c r="H545" s="79"/>
      <c r="I545" s="77"/>
      <c r="J545" s="77"/>
      <c r="K545" s="79"/>
      <c r="L545" s="77"/>
      <c r="M545" s="77"/>
      <c r="N545" s="79"/>
      <c r="O545" s="77"/>
      <c r="P545" s="77"/>
      <c r="Q545" s="79"/>
      <c r="R545" s="77"/>
    </row>
    <row r="546">
      <c r="A546" s="77"/>
      <c r="B546" s="77"/>
      <c r="C546" s="77"/>
      <c r="D546" s="77"/>
      <c r="E546" s="77"/>
      <c r="F546" s="101"/>
      <c r="G546" s="77"/>
      <c r="H546" s="79"/>
      <c r="I546" s="77"/>
      <c r="J546" s="77"/>
      <c r="K546" s="79"/>
      <c r="L546" s="77"/>
      <c r="M546" s="77"/>
      <c r="N546" s="79"/>
      <c r="O546" s="77"/>
      <c r="P546" s="77"/>
      <c r="Q546" s="79"/>
      <c r="R546" s="77"/>
    </row>
    <row r="547">
      <c r="A547" s="77"/>
      <c r="B547" s="77"/>
      <c r="C547" s="77"/>
      <c r="D547" s="77"/>
      <c r="E547" s="77"/>
      <c r="F547" s="101"/>
      <c r="G547" s="77"/>
      <c r="H547" s="79"/>
      <c r="I547" s="77"/>
      <c r="J547" s="77"/>
      <c r="K547" s="79"/>
      <c r="L547" s="77"/>
      <c r="M547" s="77"/>
      <c r="N547" s="79"/>
      <c r="O547" s="77"/>
      <c r="P547" s="77"/>
      <c r="Q547" s="79"/>
      <c r="R547" s="77"/>
    </row>
    <row r="548">
      <c r="A548" s="77"/>
      <c r="B548" s="77"/>
      <c r="C548" s="77"/>
      <c r="D548" s="77"/>
      <c r="E548" s="77"/>
      <c r="F548" s="101"/>
      <c r="G548" s="77"/>
      <c r="H548" s="79"/>
      <c r="I548" s="77"/>
      <c r="J548" s="77"/>
      <c r="K548" s="79"/>
      <c r="L548" s="77"/>
      <c r="M548" s="77"/>
      <c r="N548" s="79"/>
      <c r="O548" s="77"/>
      <c r="P548" s="77"/>
      <c r="Q548" s="79"/>
      <c r="R548" s="77"/>
    </row>
    <row r="549">
      <c r="A549" s="77"/>
      <c r="B549" s="77"/>
      <c r="C549" s="77"/>
      <c r="D549" s="77"/>
      <c r="E549" s="77"/>
      <c r="F549" s="101"/>
      <c r="G549" s="77"/>
      <c r="H549" s="79"/>
      <c r="I549" s="77"/>
      <c r="J549" s="77"/>
      <c r="K549" s="79"/>
      <c r="L549" s="77"/>
      <c r="M549" s="77"/>
      <c r="N549" s="79"/>
      <c r="O549" s="77"/>
      <c r="P549" s="77"/>
      <c r="Q549" s="79"/>
      <c r="R549" s="77"/>
    </row>
    <row r="550">
      <c r="A550" s="77"/>
      <c r="B550" s="77"/>
      <c r="C550" s="77"/>
      <c r="D550" s="77"/>
      <c r="E550" s="77"/>
      <c r="F550" s="101"/>
      <c r="G550" s="77"/>
      <c r="H550" s="79"/>
      <c r="I550" s="77"/>
      <c r="J550" s="77"/>
      <c r="K550" s="79"/>
      <c r="L550" s="77"/>
      <c r="M550" s="77"/>
      <c r="N550" s="79"/>
      <c r="O550" s="77"/>
      <c r="P550" s="77"/>
      <c r="Q550" s="79"/>
      <c r="R550" s="77"/>
    </row>
    <row r="551">
      <c r="A551" s="77"/>
      <c r="B551" s="77"/>
      <c r="C551" s="77"/>
      <c r="D551" s="77"/>
      <c r="E551" s="77"/>
      <c r="F551" s="101"/>
      <c r="G551" s="77"/>
      <c r="H551" s="79"/>
      <c r="I551" s="77"/>
      <c r="J551" s="77"/>
      <c r="K551" s="79"/>
      <c r="L551" s="77"/>
      <c r="M551" s="77"/>
      <c r="N551" s="79"/>
      <c r="O551" s="77"/>
      <c r="P551" s="77"/>
      <c r="Q551" s="79"/>
      <c r="R551" s="77"/>
    </row>
    <row r="552">
      <c r="A552" s="77"/>
      <c r="B552" s="77"/>
      <c r="C552" s="77"/>
      <c r="D552" s="77"/>
      <c r="E552" s="77"/>
      <c r="F552" s="101"/>
      <c r="G552" s="77"/>
      <c r="H552" s="79"/>
      <c r="I552" s="77"/>
      <c r="J552" s="77"/>
      <c r="K552" s="79"/>
      <c r="L552" s="77"/>
      <c r="M552" s="77"/>
      <c r="N552" s="79"/>
      <c r="O552" s="77"/>
      <c r="P552" s="77"/>
      <c r="Q552" s="79"/>
      <c r="R552" s="77"/>
    </row>
    <row r="553">
      <c r="A553" s="77"/>
      <c r="B553" s="77"/>
      <c r="C553" s="77"/>
      <c r="D553" s="77"/>
      <c r="E553" s="77"/>
      <c r="F553" s="101"/>
      <c r="G553" s="77"/>
      <c r="H553" s="79"/>
      <c r="I553" s="77"/>
      <c r="J553" s="77"/>
      <c r="K553" s="79"/>
      <c r="L553" s="77"/>
      <c r="M553" s="77"/>
      <c r="N553" s="79"/>
      <c r="O553" s="77"/>
      <c r="P553" s="77"/>
      <c r="Q553" s="79"/>
      <c r="R553" s="77"/>
    </row>
    <row r="554">
      <c r="A554" s="77"/>
      <c r="B554" s="77"/>
      <c r="C554" s="77"/>
      <c r="D554" s="77"/>
      <c r="E554" s="77"/>
      <c r="F554" s="101"/>
      <c r="G554" s="77"/>
      <c r="H554" s="79"/>
      <c r="I554" s="77"/>
      <c r="J554" s="77"/>
      <c r="K554" s="79"/>
      <c r="L554" s="77"/>
      <c r="M554" s="77"/>
      <c r="N554" s="79"/>
      <c r="O554" s="77"/>
      <c r="P554" s="77"/>
      <c r="Q554" s="79"/>
      <c r="R554" s="77"/>
    </row>
    <row r="555">
      <c r="A555" s="77"/>
      <c r="B555" s="77"/>
      <c r="C555" s="77"/>
      <c r="D555" s="77"/>
      <c r="E555" s="77"/>
      <c r="F555" s="101"/>
      <c r="G555" s="77"/>
      <c r="H555" s="79"/>
      <c r="I555" s="77"/>
      <c r="J555" s="77"/>
      <c r="K555" s="79"/>
      <c r="L555" s="77"/>
      <c r="M555" s="77"/>
      <c r="N555" s="79"/>
      <c r="O555" s="77"/>
      <c r="P555" s="77"/>
      <c r="Q555" s="79"/>
      <c r="R555" s="77"/>
    </row>
    <row r="556">
      <c r="A556" s="77"/>
      <c r="B556" s="77"/>
      <c r="C556" s="77"/>
      <c r="D556" s="77"/>
      <c r="E556" s="77"/>
      <c r="F556" s="101"/>
      <c r="G556" s="77"/>
      <c r="H556" s="79"/>
      <c r="I556" s="77"/>
      <c r="J556" s="77"/>
      <c r="K556" s="79"/>
      <c r="L556" s="77"/>
      <c r="M556" s="77"/>
      <c r="N556" s="79"/>
      <c r="O556" s="77"/>
      <c r="P556" s="77"/>
      <c r="Q556" s="79"/>
      <c r="R556" s="77"/>
    </row>
    <row r="557">
      <c r="A557" s="77"/>
      <c r="B557" s="77"/>
      <c r="C557" s="77"/>
      <c r="D557" s="77"/>
      <c r="E557" s="77"/>
      <c r="F557" s="101"/>
      <c r="G557" s="77"/>
      <c r="H557" s="79"/>
      <c r="I557" s="77"/>
      <c r="J557" s="77"/>
      <c r="K557" s="79"/>
      <c r="L557" s="77"/>
      <c r="M557" s="77"/>
      <c r="N557" s="79"/>
      <c r="O557" s="77"/>
      <c r="P557" s="77"/>
      <c r="Q557" s="79"/>
      <c r="R557" s="77"/>
    </row>
    <row r="558">
      <c r="A558" s="77"/>
      <c r="B558" s="77"/>
      <c r="C558" s="77"/>
      <c r="D558" s="77"/>
      <c r="E558" s="77"/>
      <c r="F558" s="101"/>
      <c r="G558" s="77"/>
      <c r="H558" s="79"/>
      <c r="I558" s="77"/>
      <c r="J558" s="77"/>
      <c r="K558" s="79"/>
      <c r="L558" s="77"/>
      <c r="M558" s="77"/>
      <c r="N558" s="79"/>
      <c r="O558" s="77"/>
      <c r="P558" s="77"/>
      <c r="Q558" s="79"/>
      <c r="R558" s="77"/>
    </row>
    <row r="559">
      <c r="A559" s="77"/>
      <c r="B559" s="77"/>
      <c r="C559" s="77"/>
      <c r="D559" s="77"/>
      <c r="E559" s="77"/>
      <c r="F559" s="101"/>
      <c r="G559" s="77"/>
      <c r="H559" s="79"/>
      <c r="I559" s="77"/>
      <c r="J559" s="77"/>
      <c r="K559" s="79"/>
      <c r="L559" s="77"/>
      <c r="M559" s="77"/>
      <c r="N559" s="79"/>
      <c r="O559" s="77"/>
      <c r="P559" s="77"/>
      <c r="Q559" s="79"/>
      <c r="R559" s="77"/>
    </row>
    <row r="560">
      <c r="A560" s="77"/>
      <c r="B560" s="77"/>
      <c r="C560" s="77"/>
      <c r="D560" s="77"/>
      <c r="E560" s="77"/>
      <c r="F560" s="101"/>
      <c r="G560" s="77"/>
      <c r="H560" s="79"/>
      <c r="I560" s="77"/>
      <c r="J560" s="77"/>
      <c r="K560" s="79"/>
      <c r="L560" s="77"/>
      <c r="M560" s="77"/>
      <c r="N560" s="79"/>
      <c r="O560" s="77"/>
      <c r="P560" s="77"/>
      <c r="Q560" s="79"/>
      <c r="R560" s="77"/>
    </row>
    <row r="561">
      <c r="A561" s="77"/>
      <c r="B561" s="77"/>
      <c r="C561" s="77"/>
      <c r="D561" s="77"/>
      <c r="E561" s="77"/>
      <c r="F561" s="101"/>
      <c r="G561" s="77"/>
      <c r="H561" s="79"/>
      <c r="I561" s="77"/>
      <c r="J561" s="77"/>
      <c r="K561" s="79"/>
      <c r="L561" s="77"/>
      <c r="M561" s="77"/>
      <c r="N561" s="79"/>
      <c r="O561" s="77"/>
      <c r="P561" s="77"/>
      <c r="Q561" s="79"/>
      <c r="R561" s="77"/>
    </row>
    <row r="562">
      <c r="A562" s="77"/>
      <c r="B562" s="77"/>
      <c r="C562" s="77"/>
      <c r="D562" s="77"/>
      <c r="E562" s="77"/>
      <c r="F562" s="101"/>
      <c r="G562" s="77"/>
      <c r="H562" s="79"/>
      <c r="I562" s="77"/>
      <c r="J562" s="77"/>
      <c r="K562" s="79"/>
      <c r="L562" s="77"/>
      <c r="M562" s="77"/>
      <c r="N562" s="79"/>
      <c r="O562" s="77"/>
      <c r="P562" s="77"/>
      <c r="Q562" s="79"/>
      <c r="R562" s="77"/>
    </row>
    <row r="563">
      <c r="A563" s="77"/>
      <c r="B563" s="77"/>
      <c r="C563" s="77"/>
      <c r="D563" s="77"/>
      <c r="E563" s="77"/>
      <c r="F563" s="101"/>
      <c r="G563" s="77"/>
      <c r="H563" s="79"/>
      <c r="I563" s="77"/>
      <c r="J563" s="77"/>
      <c r="K563" s="79"/>
      <c r="L563" s="77"/>
      <c r="M563" s="77"/>
      <c r="N563" s="79"/>
      <c r="O563" s="77"/>
      <c r="P563" s="77"/>
      <c r="Q563" s="79"/>
      <c r="R563" s="77"/>
    </row>
    <row r="564">
      <c r="A564" s="77"/>
      <c r="B564" s="77"/>
      <c r="C564" s="77"/>
      <c r="D564" s="77"/>
      <c r="E564" s="77"/>
      <c r="F564" s="101"/>
      <c r="G564" s="77"/>
      <c r="H564" s="79"/>
      <c r="I564" s="77"/>
      <c r="J564" s="77"/>
      <c r="K564" s="79"/>
      <c r="L564" s="77"/>
      <c r="M564" s="77"/>
      <c r="N564" s="79"/>
      <c r="O564" s="77"/>
      <c r="P564" s="77"/>
      <c r="Q564" s="79"/>
      <c r="R564" s="77"/>
    </row>
    <row r="565">
      <c r="A565" s="77"/>
      <c r="B565" s="77"/>
      <c r="C565" s="77"/>
      <c r="D565" s="77"/>
      <c r="E565" s="77"/>
      <c r="F565" s="101"/>
      <c r="G565" s="77"/>
      <c r="H565" s="79"/>
      <c r="I565" s="77"/>
      <c r="J565" s="77"/>
      <c r="K565" s="79"/>
      <c r="L565" s="77"/>
      <c r="M565" s="77"/>
      <c r="N565" s="79"/>
      <c r="O565" s="77"/>
      <c r="P565" s="77"/>
      <c r="Q565" s="79"/>
      <c r="R565" s="77"/>
    </row>
    <row r="566">
      <c r="A566" s="77"/>
      <c r="B566" s="77"/>
      <c r="C566" s="77"/>
      <c r="D566" s="77"/>
      <c r="E566" s="77"/>
      <c r="F566" s="101"/>
      <c r="G566" s="77"/>
      <c r="H566" s="79"/>
      <c r="I566" s="77"/>
      <c r="J566" s="77"/>
      <c r="K566" s="79"/>
      <c r="L566" s="77"/>
      <c r="M566" s="77"/>
      <c r="N566" s="79"/>
      <c r="O566" s="77"/>
      <c r="P566" s="77"/>
      <c r="Q566" s="79"/>
      <c r="R566" s="77"/>
    </row>
    <row r="567">
      <c r="A567" s="77"/>
      <c r="B567" s="77"/>
      <c r="C567" s="77"/>
      <c r="D567" s="77"/>
      <c r="E567" s="77"/>
      <c r="F567" s="101"/>
      <c r="G567" s="77"/>
      <c r="H567" s="79"/>
      <c r="I567" s="77"/>
      <c r="J567" s="77"/>
      <c r="K567" s="79"/>
      <c r="L567" s="77"/>
      <c r="M567" s="77"/>
      <c r="N567" s="79"/>
      <c r="O567" s="77"/>
      <c r="P567" s="77"/>
      <c r="Q567" s="79"/>
      <c r="R567" s="77"/>
    </row>
    <row r="568">
      <c r="A568" s="77"/>
      <c r="B568" s="77"/>
      <c r="C568" s="77"/>
      <c r="D568" s="77"/>
      <c r="E568" s="77"/>
      <c r="F568" s="101"/>
      <c r="G568" s="77"/>
      <c r="H568" s="79"/>
      <c r="I568" s="77"/>
      <c r="J568" s="77"/>
      <c r="K568" s="79"/>
      <c r="L568" s="77"/>
      <c r="M568" s="77"/>
      <c r="N568" s="79"/>
      <c r="O568" s="77"/>
      <c r="P568" s="77"/>
      <c r="Q568" s="79"/>
      <c r="R568" s="77"/>
    </row>
    <row r="569">
      <c r="A569" s="77"/>
      <c r="B569" s="77"/>
      <c r="C569" s="77"/>
      <c r="D569" s="77"/>
      <c r="E569" s="77"/>
      <c r="F569" s="101"/>
      <c r="G569" s="77"/>
      <c r="H569" s="79"/>
      <c r="I569" s="77"/>
      <c r="J569" s="77"/>
      <c r="K569" s="79"/>
      <c r="L569" s="77"/>
      <c r="M569" s="77"/>
      <c r="N569" s="79"/>
      <c r="O569" s="77"/>
      <c r="P569" s="77"/>
      <c r="Q569" s="79"/>
      <c r="R569" s="77"/>
    </row>
    <row r="570">
      <c r="A570" s="77"/>
      <c r="B570" s="77"/>
      <c r="C570" s="77"/>
      <c r="D570" s="77"/>
      <c r="E570" s="77"/>
      <c r="F570" s="101"/>
      <c r="G570" s="77"/>
      <c r="H570" s="79"/>
      <c r="I570" s="77"/>
      <c r="J570" s="77"/>
      <c r="K570" s="79"/>
      <c r="L570" s="77"/>
      <c r="M570" s="77"/>
      <c r="N570" s="79"/>
      <c r="O570" s="77"/>
      <c r="P570" s="77"/>
      <c r="Q570" s="79"/>
      <c r="R570" s="77"/>
    </row>
    <row r="571">
      <c r="A571" s="77"/>
      <c r="B571" s="77"/>
      <c r="C571" s="77"/>
      <c r="D571" s="77"/>
      <c r="E571" s="77"/>
      <c r="F571" s="101"/>
      <c r="G571" s="77"/>
      <c r="H571" s="79"/>
      <c r="I571" s="77"/>
      <c r="J571" s="77"/>
      <c r="K571" s="79"/>
      <c r="L571" s="77"/>
      <c r="M571" s="77"/>
      <c r="N571" s="79"/>
      <c r="O571" s="77"/>
      <c r="P571" s="77"/>
      <c r="Q571" s="79"/>
      <c r="R571" s="77"/>
    </row>
    <row r="572">
      <c r="A572" s="77"/>
      <c r="B572" s="77"/>
      <c r="C572" s="77"/>
      <c r="D572" s="77"/>
      <c r="E572" s="77"/>
      <c r="F572" s="101"/>
      <c r="G572" s="77"/>
      <c r="H572" s="79"/>
      <c r="I572" s="77"/>
      <c r="J572" s="77"/>
      <c r="K572" s="79"/>
      <c r="L572" s="77"/>
      <c r="M572" s="77"/>
      <c r="N572" s="79"/>
      <c r="O572" s="77"/>
      <c r="P572" s="77"/>
      <c r="Q572" s="79"/>
      <c r="R572" s="77"/>
    </row>
    <row r="573">
      <c r="A573" s="77"/>
      <c r="B573" s="77"/>
      <c r="C573" s="77"/>
      <c r="D573" s="77"/>
      <c r="E573" s="77"/>
      <c r="F573" s="101"/>
      <c r="G573" s="77"/>
      <c r="H573" s="79"/>
      <c r="I573" s="77"/>
      <c r="J573" s="77"/>
      <c r="K573" s="79"/>
      <c r="L573" s="77"/>
      <c r="M573" s="77"/>
      <c r="N573" s="79"/>
      <c r="O573" s="77"/>
      <c r="P573" s="77"/>
      <c r="Q573" s="79"/>
      <c r="R573" s="77"/>
    </row>
    <row r="574">
      <c r="A574" s="77"/>
      <c r="B574" s="77"/>
      <c r="C574" s="77"/>
      <c r="D574" s="77"/>
      <c r="E574" s="77"/>
      <c r="F574" s="101"/>
      <c r="G574" s="77"/>
      <c r="H574" s="79"/>
      <c r="I574" s="77"/>
      <c r="J574" s="77"/>
      <c r="K574" s="79"/>
      <c r="L574" s="77"/>
      <c r="M574" s="77"/>
      <c r="N574" s="79"/>
      <c r="O574" s="77"/>
      <c r="P574" s="77"/>
      <c r="Q574" s="79"/>
      <c r="R574" s="77"/>
    </row>
    <row r="575">
      <c r="A575" s="77"/>
      <c r="B575" s="77"/>
      <c r="C575" s="77"/>
      <c r="D575" s="77"/>
      <c r="E575" s="77"/>
      <c r="F575" s="101"/>
      <c r="G575" s="77"/>
      <c r="H575" s="79"/>
      <c r="I575" s="77"/>
      <c r="J575" s="77"/>
      <c r="K575" s="79"/>
      <c r="L575" s="77"/>
      <c r="M575" s="77"/>
      <c r="N575" s="79"/>
      <c r="O575" s="77"/>
      <c r="P575" s="77"/>
      <c r="Q575" s="79"/>
      <c r="R575" s="77"/>
    </row>
    <row r="576">
      <c r="A576" s="77"/>
      <c r="B576" s="77"/>
      <c r="C576" s="77"/>
      <c r="D576" s="77"/>
      <c r="E576" s="77"/>
      <c r="F576" s="101"/>
      <c r="G576" s="77"/>
      <c r="H576" s="79"/>
      <c r="I576" s="77"/>
      <c r="J576" s="77"/>
      <c r="K576" s="79"/>
      <c r="L576" s="77"/>
      <c r="M576" s="77"/>
      <c r="N576" s="79"/>
      <c r="O576" s="77"/>
      <c r="P576" s="77"/>
      <c r="Q576" s="79"/>
      <c r="R576" s="77"/>
    </row>
    <row r="577">
      <c r="A577" s="77"/>
      <c r="B577" s="77"/>
      <c r="C577" s="77"/>
      <c r="D577" s="77"/>
      <c r="E577" s="77"/>
      <c r="F577" s="101"/>
      <c r="G577" s="77"/>
      <c r="H577" s="79"/>
      <c r="I577" s="77"/>
      <c r="J577" s="77"/>
      <c r="K577" s="79"/>
      <c r="L577" s="77"/>
      <c r="M577" s="77"/>
      <c r="N577" s="79"/>
      <c r="O577" s="77"/>
      <c r="P577" s="77"/>
      <c r="Q577" s="79"/>
      <c r="R577" s="77"/>
    </row>
    <row r="578">
      <c r="A578" s="77"/>
      <c r="B578" s="77"/>
      <c r="C578" s="77"/>
      <c r="D578" s="77"/>
      <c r="E578" s="77"/>
      <c r="F578" s="101"/>
      <c r="G578" s="77"/>
      <c r="H578" s="79"/>
      <c r="I578" s="77"/>
      <c r="J578" s="77"/>
      <c r="K578" s="79"/>
      <c r="L578" s="77"/>
      <c r="M578" s="77"/>
      <c r="N578" s="79"/>
      <c r="O578" s="77"/>
      <c r="P578" s="77"/>
      <c r="Q578" s="79"/>
      <c r="R578" s="77"/>
    </row>
    <row r="579">
      <c r="A579" s="77"/>
      <c r="B579" s="77"/>
      <c r="C579" s="77"/>
      <c r="D579" s="77"/>
      <c r="E579" s="77"/>
      <c r="F579" s="101"/>
      <c r="G579" s="77"/>
      <c r="H579" s="79"/>
      <c r="I579" s="77"/>
      <c r="J579" s="77"/>
      <c r="K579" s="79"/>
      <c r="L579" s="77"/>
      <c r="M579" s="77"/>
      <c r="N579" s="79"/>
      <c r="O579" s="77"/>
      <c r="P579" s="77"/>
      <c r="Q579" s="79"/>
      <c r="R579" s="77"/>
    </row>
    <row r="580">
      <c r="A580" s="77"/>
      <c r="B580" s="77"/>
      <c r="C580" s="77"/>
      <c r="D580" s="77"/>
      <c r="E580" s="77"/>
      <c r="F580" s="101"/>
      <c r="G580" s="77"/>
      <c r="H580" s="79"/>
      <c r="I580" s="77"/>
      <c r="J580" s="77"/>
      <c r="K580" s="79"/>
      <c r="L580" s="77"/>
      <c r="M580" s="77"/>
      <c r="N580" s="79"/>
      <c r="O580" s="77"/>
      <c r="P580" s="77"/>
      <c r="Q580" s="79"/>
      <c r="R580" s="77"/>
    </row>
    <row r="581">
      <c r="A581" s="77"/>
      <c r="B581" s="77"/>
      <c r="C581" s="77"/>
      <c r="D581" s="77"/>
      <c r="E581" s="77"/>
      <c r="F581" s="101"/>
      <c r="G581" s="77"/>
      <c r="H581" s="79"/>
      <c r="I581" s="77"/>
      <c r="J581" s="77"/>
      <c r="K581" s="79"/>
      <c r="L581" s="77"/>
      <c r="M581" s="77"/>
      <c r="N581" s="79"/>
      <c r="O581" s="77"/>
      <c r="P581" s="77"/>
      <c r="Q581" s="79"/>
      <c r="R581" s="77"/>
    </row>
    <row r="582">
      <c r="A582" s="77"/>
      <c r="B582" s="77"/>
      <c r="C582" s="77"/>
      <c r="D582" s="77"/>
      <c r="E582" s="77"/>
      <c r="F582" s="101"/>
      <c r="G582" s="77"/>
      <c r="H582" s="79"/>
      <c r="I582" s="77"/>
      <c r="J582" s="77"/>
      <c r="K582" s="79"/>
      <c r="L582" s="77"/>
      <c r="M582" s="77"/>
      <c r="N582" s="79"/>
      <c r="O582" s="77"/>
      <c r="P582" s="77"/>
      <c r="Q582" s="79"/>
      <c r="R582" s="77"/>
    </row>
    <row r="583">
      <c r="A583" s="77"/>
      <c r="B583" s="77"/>
      <c r="C583" s="77"/>
      <c r="D583" s="77"/>
      <c r="E583" s="77"/>
      <c r="F583" s="101"/>
      <c r="G583" s="77"/>
      <c r="H583" s="79"/>
      <c r="I583" s="77"/>
      <c r="J583" s="77"/>
      <c r="K583" s="79"/>
      <c r="L583" s="77"/>
      <c r="M583" s="77"/>
      <c r="N583" s="79"/>
      <c r="O583" s="77"/>
      <c r="P583" s="77"/>
      <c r="Q583" s="79"/>
      <c r="R583" s="77"/>
    </row>
    <row r="584">
      <c r="A584" s="77"/>
      <c r="B584" s="77"/>
      <c r="C584" s="77"/>
      <c r="D584" s="77"/>
      <c r="E584" s="77"/>
      <c r="F584" s="101"/>
      <c r="G584" s="77"/>
      <c r="H584" s="79"/>
      <c r="I584" s="77"/>
      <c r="J584" s="77"/>
      <c r="K584" s="79"/>
      <c r="L584" s="77"/>
      <c r="M584" s="77"/>
      <c r="N584" s="79"/>
      <c r="O584" s="77"/>
      <c r="P584" s="77"/>
      <c r="Q584" s="79"/>
      <c r="R584" s="77"/>
    </row>
    <row r="585">
      <c r="A585" s="77"/>
      <c r="B585" s="77"/>
      <c r="C585" s="77"/>
      <c r="D585" s="77"/>
      <c r="E585" s="77"/>
      <c r="F585" s="101"/>
      <c r="G585" s="77"/>
      <c r="H585" s="79"/>
      <c r="I585" s="77"/>
      <c r="J585" s="77"/>
      <c r="K585" s="79"/>
      <c r="L585" s="77"/>
      <c r="M585" s="77"/>
      <c r="N585" s="79"/>
      <c r="O585" s="77"/>
      <c r="P585" s="77"/>
      <c r="Q585" s="79"/>
      <c r="R585" s="77"/>
    </row>
    <row r="586">
      <c r="A586" s="77"/>
      <c r="B586" s="77"/>
      <c r="C586" s="77"/>
      <c r="D586" s="77"/>
      <c r="E586" s="77"/>
      <c r="F586" s="101"/>
      <c r="G586" s="77"/>
      <c r="H586" s="79"/>
      <c r="I586" s="77"/>
      <c r="J586" s="77"/>
      <c r="K586" s="79"/>
      <c r="L586" s="77"/>
      <c r="M586" s="77"/>
      <c r="N586" s="79"/>
      <c r="O586" s="77"/>
      <c r="P586" s="77"/>
      <c r="Q586" s="79"/>
      <c r="R586" s="77"/>
    </row>
    <row r="587">
      <c r="A587" s="77"/>
      <c r="B587" s="77"/>
      <c r="C587" s="77"/>
      <c r="D587" s="77"/>
      <c r="E587" s="77"/>
      <c r="F587" s="101"/>
      <c r="G587" s="77"/>
      <c r="H587" s="79"/>
      <c r="I587" s="77"/>
      <c r="J587" s="77"/>
      <c r="K587" s="79"/>
      <c r="L587" s="77"/>
      <c r="M587" s="77"/>
      <c r="N587" s="79"/>
      <c r="O587" s="77"/>
      <c r="P587" s="77"/>
      <c r="Q587" s="79"/>
      <c r="R587" s="77"/>
    </row>
    <row r="588">
      <c r="A588" s="77"/>
      <c r="B588" s="77"/>
      <c r="C588" s="77"/>
      <c r="D588" s="77"/>
      <c r="E588" s="77"/>
      <c r="F588" s="101"/>
      <c r="G588" s="77"/>
      <c r="H588" s="79"/>
      <c r="I588" s="77"/>
      <c r="J588" s="77"/>
      <c r="K588" s="79"/>
      <c r="L588" s="77"/>
      <c r="M588" s="77"/>
      <c r="N588" s="79"/>
      <c r="O588" s="77"/>
      <c r="P588" s="77"/>
      <c r="Q588" s="79"/>
      <c r="R588" s="77"/>
    </row>
    <row r="589">
      <c r="A589" s="77"/>
      <c r="B589" s="77"/>
      <c r="C589" s="77"/>
      <c r="D589" s="77"/>
      <c r="E589" s="77"/>
      <c r="F589" s="101"/>
      <c r="G589" s="77"/>
      <c r="H589" s="79"/>
      <c r="I589" s="77"/>
      <c r="J589" s="77"/>
      <c r="K589" s="79"/>
      <c r="L589" s="77"/>
      <c r="M589" s="77"/>
      <c r="N589" s="79"/>
      <c r="O589" s="77"/>
      <c r="P589" s="77"/>
      <c r="Q589" s="79"/>
      <c r="R589" s="77"/>
    </row>
    <row r="590">
      <c r="A590" s="77"/>
      <c r="B590" s="77"/>
      <c r="C590" s="77"/>
      <c r="D590" s="77"/>
      <c r="E590" s="77"/>
      <c r="F590" s="101"/>
      <c r="G590" s="77"/>
      <c r="H590" s="79"/>
      <c r="I590" s="77"/>
      <c r="J590" s="77"/>
      <c r="K590" s="79"/>
      <c r="L590" s="77"/>
      <c r="M590" s="77"/>
      <c r="N590" s="79"/>
      <c r="O590" s="77"/>
      <c r="P590" s="77"/>
      <c r="Q590" s="79"/>
      <c r="R590" s="77"/>
    </row>
    <row r="591">
      <c r="A591" s="77"/>
      <c r="B591" s="77"/>
      <c r="C591" s="77"/>
      <c r="D591" s="77"/>
      <c r="E591" s="77"/>
      <c r="F591" s="101"/>
      <c r="G591" s="77"/>
      <c r="H591" s="79"/>
      <c r="I591" s="77"/>
      <c r="J591" s="77"/>
      <c r="K591" s="79"/>
      <c r="L591" s="77"/>
      <c r="M591" s="77"/>
      <c r="N591" s="79"/>
      <c r="O591" s="77"/>
      <c r="P591" s="77"/>
      <c r="Q591" s="79"/>
      <c r="R591" s="77"/>
    </row>
    <row r="592">
      <c r="A592" s="77"/>
      <c r="B592" s="77"/>
      <c r="C592" s="77"/>
      <c r="D592" s="77"/>
      <c r="E592" s="77"/>
      <c r="F592" s="101"/>
      <c r="G592" s="77"/>
      <c r="H592" s="79"/>
      <c r="I592" s="77"/>
      <c r="J592" s="77"/>
      <c r="K592" s="79"/>
      <c r="L592" s="77"/>
      <c r="M592" s="77"/>
      <c r="N592" s="79"/>
      <c r="O592" s="77"/>
      <c r="P592" s="77"/>
      <c r="Q592" s="79"/>
      <c r="R592" s="77"/>
    </row>
    <row r="593">
      <c r="A593" s="77"/>
      <c r="B593" s="77"/>
      <c r="C593" s="77"/>
      <c r="D593" s="77"/>
      <c r="E593" s="77"/>
      <c r="F593" s="101"/>
      <c r="G593" s="77"/>
      <c r="H593" s="79"/>
      <c r="I593" s="77"/>
      <c r="J593" s="77"/>
      <c r="K593" s="79"/>
      <c r="L593" s="77"/>
      <c r="M593" s="77"/>
      <c r="N593" s="79"/>
      <c r="O593" s="77"/>
      <c r="P593" s="77"/>
      <c r="Q593" s="79"/>
      <c r="R593" s="77"/>
    </row>
    <row r="594">
      <c r="A594" s="77"/>
      <c r="B594" s="77"/>
      <c r="C594" s="77"/>
      <c r="D594" s="77"/>
      <c r="E594" s="77"/>
      <c r="F594" s="101"/>
      <c r="G594" s="77"/>
      <c r="H594" s="79"/>
      <c r="I594" s="77"/>
      <c r="J594" s="77"/>
      <c r="K594" s="79"/>
      <c r="L594" s="77"/>
      <c r="M594" s="77"/>
      <c r="N594" s="79"/>
      <c r="O594" s="77"/>
      <c r="P594" s="77"/>
      <c r="Q594" s="79"/>
      <c r="R594" s="77"/>
    </row>
    <row r="595">
      <c r="A595" s="77"/>
      <c r="B595" s="77"/>
      <c r="C595" s="77"/>
      <c r="D595" s="77"/>
      <c r="E595" s="77"/>
      <c r="F595" s="101"/>
      <c r="G595" s="77"/>
      <c r="H595" s="79"/>
      <c r="I595" s="77"/>
      <c r="J595" s="77"/>
      <c r="K595" s="79"/>
      <c r="L595" s="77"/>
      <c r="M595" s="77"/>
      <c r="N595" s="79"/>
      <c r="O595" s="77"/>
      <c r="P595" s="77"/>
      <c r="Q595" s="79"/>
      <c r="R595" s="77"/>
    </row>
    <row r="596">
      <c r="A596" s="77"/>
      <c r="B596" s="77"/>
      <c r="C596" s="77"/>
      <c r="D596" s="77"/>
      <c r="E596" s="77"/>
      <c r="F596" s="101"/>
      <c r="G596" s="77"/>
      <c r="H596" s="79"/>
      <c r="I596" s="77"/>
      <c r="J596" s="77"/>
      <c r="K596" s="79"/>
      <c r="L596" s="77"/>
      <c r="M596" s="77"/>
      <c r="N596" s="79"/>
      <c r="O596" s="77"/>
      <c r="P596" s="77"/>
      <c r="Q596" s="79"/>
      <c r="R596" s="77"/>
    </row>
    <row r="597">
      <c r="A597" s="77"/>
      <c r="B597" s="77"/>
      <c r="C597" s="77"/>
      <c r="D597" s="77"/>
      <c r="E597" s="77"/>
      <c r="F597" s="101"/>
      <c r="G597" s="77"/>
      <c r="H597" s="79"/>
      <c r="I597" s="77"/>
      <c r="J597" s="77"/>
      <c r="K597" s="79"/>
      <c r="L597" s="77"/>
      <c r="M597" s="77"/>
      <c r="N597" s="79"/>
      <c r="O597" s="77"/>
      <c r="P597" s="77"/>
      <c r="Q597" s="79"/>
      <c r="R597" s="77"/>
    </row>
    <row r="598">
      <c r="A598" s="77"/>
      <c r="B598" s="77"/>
      <c r="C598" s="77"/>
      <c r="D598" s="77"/>
      <c r="E598" s="77"/>
      <c r="F598" s="101"/>
      <c r="G598" s="77"/>
      <c r="H598" s="79"/>
      <c r="I598" s="77"/>
      <c r="J598" s="77"/>
      <c r="K598" s="79"/>
      <c r="L598" s="77"/>
      <c r="M598" s="77"/>
      <c r="N598" s="79"/>
      <c r="O598" s="77"/>
      <c r="P598" s="77"/>
      <c r="Q598" s="79"/>
      <c r="R598" s="77"/>
    </row>
    <row r="599">
      <c r="A599" s="77"/>
      <c r="B599" s="77"/>
      <c r="C599" s="77"/>
      <c r="D599" s="77"/>
      <c r="E599" s="77"/>
      <c r="F599" s="101"/>
      <c r="G599" s="77"/>
      <c r="H599" s="79"/>
      <c r="I599" s="77"/>
      <c r="J599" s="77"/>
      <c r="K599" s="79"/>
      <c r="L599" s="77"/>
      <c r="M599" s="77"/>
      <c r="N599" s="79"/>
      <c r="O599" s="77"/>
      <c r="P599" s="77"/>
      <c r="Q599" s="79"/>
      <c r="R599" s="77"/>
    </row>
    <row r="600">
      <c r="A600" s="77"/>
      <c r="B600" s="77"/>
      <c r="C600" s="77"/>
      <c r="D600" s="77"/>
      <c r="E600" s="77"/>
      <c r="F600" s="101"/>
      <c r="G600" s="77"/>
      <c r="H600" s="79"/>
      <c r="I600" s="77"/>
      <c r="J600" s="77"/>
      <c r="K600" s="79"/>
      <c r="L600" s="77"/>
      <c r="M600" s="77"/>
      <c r="N600" s="79"/>
      <c r="O600" s="77"/>
      <c r="P600" s="77"/>
      <c r="Q600" s="79"/>
      <c r="R600" s="77"/>
    </row>
    <row r="601">
      <c r="A601" s="77"/>
      <c r="B601" s="77"/>
      <c r="C601" s="77"/>
      <c r="D601" s="77"/>
      <c r="E601" s="77"/>
      <c r="F601" s="101"/>
      <c r="G601" s="77"/>
      <c r="H601" s="79"/>
      <c r="I601" s="77"/>
      <c r="J601" s="77"/>
      <c r="K601" s="79"/>
      <c r="L601" s="77"/>
      <c r="M601" s="77"/>
      <c r="N601" s="79"/>
      <c r="O601" s="77"/>
      <c r="P601" s="77"/>
      <c r="Q601" s="79"/>
      <c r="R601" s="77"/>
    </row>
    <row r="602">
      <c r="A602" s="77"/>
      <c r="B602" s="77"/>
      <c r="C602" s="77"/>
      <c r="D602" s="77"/>
      <c r="E602" s="77"/>
      <c r="F602" s="101"/>
      <c r="G602" s="77"/>
      <c r="H602" s="79"/>
      <c r="I602" s="77"/>
      <c r="J602" s="77"/>
      <c r="K602" s="79"/>
      <c r="L602" s="77"/>
      <c r="M602" s="77"/>
      <c r="N602" s="79"/>
      <c r="O602" s="77"/>
      <c r="P602" s="77"/>
      <c r="Q602" s="79"/>
      <c r="R602" s="77"/>
    </row>
    <row r="603">
      <c r="A603" s="77"/>
      <c r="B603" s="77"/>
      <c r="C603" s="77"/>
      <c r="D603" s="77"/>
      <c r="E603" s="77"/>
      <c r="F603" s="101"/>
      <c r="G603" s="77"/>
      <c r="H603" s="79"/>
      <c r="I603" s="77"/>
      <c r="J603" s="77"/>
      <c r="K603" s="79"/>
      <c r="L603" s="77"/>
      <c r="M603" s="77"/>
      <c r="N603" s="79"/>
      <c r="O603" s="77"/>
      <c r="P603" s="77"/>
      <c r="Q603" s="79"/>
      <c r="R603" s="77"/>
    </row>
    <row r="604">
      <c r="A604" s="77"/>
      <c r="B604" s="77"/>
      <c r="C604" s="77"/>
      <c r="D604" s="77"/>
      <c r="E604" s="77"/>
      <c r="F604" s="101"/>
      <c r="G604" s="77"/>
      <c r="H604" s="79"/>
      <c r="I604" s="77"/>
      <c r="J604" s="77"/>
      <c r="K604" s="79"/>
      <c r="L604" s="77"/>
      <c r="M604" s="77"/>
      <c r="N604" s="79"/>
      <c r="O604" s="77"/>
      <c r="P604" s="77"/>
      <c r="Q604" s="79"/>
      <c r="R604" s="77"/>
    </row>
    <row r="605">
      <c r="A605" s="77"/>
      <c r="B605" s="77"/>
      <c r="C605" s="77"/>
      <c r="D605" s="77"/>
      <c r="E605" s="77"/>
      <c r="F605" s="101"/>
      <c r="G605" s="77"/>
      <c r="H605" s="79"/>
      <c r="I605" s="77"/>
      <c r="J605" s="77"/>
      <c r="K605" s="79"/>
      <c r="L605" s="77"/>
      <c r="M605" s="77"/>
      <c r="N605" s="79"/>
      <c r="O605" s="77"/>
      <c r="P605" s="77"/>
      <c r="Q605" s="79"/>
      <c r="R605" s="77"/>
    </row>
    <row r="606">
      <c r="A606" s="77"/>
      <c r="B606" s="77"/>
      <c r="C606" s="77"/>
      <c r="D606" s="77"/>
      <c r="E606" s="77"/>
      <c r="F606" s="101"/>
      <c r="G606" s="77"/>
      <c r="H606" s="79"/>
      <c r="I606" s="77"/>
      <c r="J606" s="77"/>
      <c r="K606" s="79"/>
      <c r="L606" s="77"/>
      <c r="M606" s="77"/>
      <c r="N606" s="79"/>
      <c r="O606" s="77"/>
      <c r="P606" s="77"/>
      <c r="Q606" s="79"/>
      <c r="R606" s="77"/>
    </row>
    <row r="607">
      <c r="A607" s="77"/>
      <c r="B607" s="77"/>
      <c r="C607" s="77"/>
      <c r="D607" s="77"/>
      <c r="E607" s="77"/>
      <c r="F607" s="101"/>
      <c r="G607" s="77"/>
      <c r="H607" s="79"/>
      <c r="I607" s="77"/>
      <c r="J607" s="77"/>
      <c r="K607" s="79"/>
      <c r="L607" s="77"/>
      <c r="M607" s="77"/>
      <c r="N607" s="79"/>
      <c r="O607" s="77"/>
      <c r="P607" s="77"/>
      <c r="Q607" s="79"/>
      <c r="R607" s="77"/>
    </row>
    <row r="608">
      <c r="A608" s="77"/>
      <c r="B608" s="77"/>
      <c r="C608" s="77"/>
      <c r="D608" s="77"/>
      <c r="E608" s="77"/>
      <c r="F608" s="101"/>
      <c r="G608" s="77"/>
      <c r="H608" s="79"/>
      <c r="I608" s="77"/>
      <c r="J608" s="77"/>
      <c r="K608" s="79"/>
      <c r="L608" s="77"/>
      <c r="M608" s="77"/>
      <c r="N608" s="79"/>
      <c r="O608" s="77"/>
      <c r="P608" s="77"/>
      <c r="Q608" s="79"/>
      <c r="R608" s="77"/>
    </row>
    <row r="609">
      <c r="A609" s="77"/>
      <c r="B609" s="77"/>
      <c r="C609" s="77"/>
      <c r="D609" s="77"/>
      <c r="E609" s="77"/>
      <c r="F609" s="101"/>
      <c r="G609" s="77"/>
      <c r="H609" s="79"/>
      <c r="I609" s="77"/>
      <c r="J609" s="77"/>
      <c r="K609" s="79"/>
      <c r="L609" s="77"/>
      <c r="M609" s="77"/>
      <c r="N609" s="79"/>
      <c r="O609" s="77"/>
      <c r="P609" s="77"/>
      <c r="Q609" s="79"/>
      <c r="R609" s="77"/>
    </row>
    <row r="610">
      <c r="A610" s="77"/>
      <c r="B610" s="77"/>
      <c r="C610" s="77"/>
      <c r="D610" s="77"/>
      <c r="E610" s="77"/>
      <c r="F610" s="101"/>
      <c r="G610" s="77"/>
      <c r="H610" s="79"/>
      <c r="I610" s="77"/>
      <c r="J610" s="77"/>
      <c r="K610" s="79"/>
      <c r="L610" s="77"/>
      <c r="M610" s="77"/>
      <c r="N610" s="79"/>
      <c r="O610" s="77"/>
      <c r="P610" s="77"/>
      <c r="Q610" s="79"/>
      <c r="R610" s="77"/>
    </row>
    <row r="611">
      <c r="A611" s="77"/>
      <c r="B611" s="77"/>
      <c r="C611" s="77"/>
      <c r="D611" s="77"/>
      <c r="E611" s="77"/>
      <c r="F611" s="101"/>
      <c r="G611" s="77"/>
      <c r="H611" s="79"/>
      <c r="I611" s="77"/>
      <c r="J611" s="77"/>
      <c r="K611" s="79"/>
      <c r="L611" s="77"/>
      <c r="M611" s="77"/>
      <c r="N611" s="79"/>
      <c r="O611" s="77"/>
      <c r="P611" s="77"/>
      <c r="Q611" s="79"/>
      <c r="R611" s="77"/>
    </row>
    <row r="612">
      <c r="A612" s="77"/>
      <c r="B612" s="77"/>
      <c r="C612" s="77"/>
      <c r="D612" s="77"/>
      <c r="E612" s="77"/>
      <c r="F612" s="101"/>
      <c r="G612" s="77"/>
      <c r="H612" s="79"/>
      <c r="I612" s="77"/>
      <c r="J612" s="77"/>
      <c r="K612" s="79"/>
      <c r="L612" s="77"/>
      <c r="M612" s="77"/>
      <c r="N612" s="79"/>
      <c r="O612" s="77"/>
      <c r="P612" s="77"/>
      <c r="Q612" s="79"/>
      <c r="R612" s="77"/>
    </row>
    <row r="613">
      <c r="A613" s="77"/>
      <c r="B613" s="77"/>
      <c r="C613" s="77"/>
      <c r="D613" s="77"/>
      <c r="E613" s="77"/>
      <c r="F613" s="101"/>
      <c r="G613" s="77"/>
      <c r="H613" s="79"/>
      <c r="I613" s="77"/>
      <c r="J613" s="77"/>
      <c r="K613" s="79"/>
      <c r="L613" s="77"/>
      <c r="M613" s="77"/>
      <c r="N613" s="79"/>
      <c r="O613" s="77"/>
      <c r="P613" s="77"/>
      <c r="Q613" s="79"/>
      <c r="R613" s="77"/>
    </row>
    <row r="614">
      <c r="A614" s="77"/>
      <c r="B614" s="77"/>
      <c r="C614" s="77"/>
      <c r="D614" s="77"/>
      <c r="E614" s="77"/>
      <c r="F614" s="101"/>
      <c r="G614" s="77"/>
      <c r="H614" s="79"/>
      <c r="I614" s="77"/>
      <c r="J614" s="77"/>
      <c r="K614" s="79"/>
      <c r="L614" s="77"/>
      <c r="M614" s="77"/>
      <c r="N614" s="79"/>
      <c r="O614" s="77"/>
      <c r="P614" s="77"/>
      <c r="Q614" s="79"/>
      <c r="R614" s="77"/>
    </row>
    <row r="615">
      <c r="A615" s="77"/>
      <c r="B615" s="77"/>
      <c r="C615" s="77"/>
      <c r="D615" s="77"/>
      <c r="E615" s="77"/>
      <c r="F615" s="101"/>
      <c r="G615" s="77"/>
      <c r="H615" s="79"/>
      <c r="I615" s="77"/>
      <c r="J615" s="77"/>
      <c r="K615" s="79"/>
      <c r="L615" s="77"/>
      <c r="M615" s="77"/>
      <c r="N615" s="79"/>
      <c r="O615" s="77"/>
      <c r="P615" s="77"/>
      <c r="Q615" s="79"/>
      <c r="R615" s="77"/>
    </row>
    <row r="616">
      <c r="A616" s="77"/>
      <c r="B616" s="77"/>
      <c r="C616" s="77"/>
      <c r="D616" s="77"/>
      <c r="E616" s="77"/>
      <c r="F616" s="101"/>
      <c r="G616" s="77"/>
      <c r="H616" s="79"/>
      <c r="I616" s="77"/>
      <c r="J616" s="77"/>
      <c r="K616" s="79"/>
      <c r="L616" s="77"/>
      <c r="M616" s="77"/>
      <c r="N616" s="79"/>
      <c r="O616" s="77"/>
      <c r="P616" s="77"/>
      <c r="Q616" s="79"/>
      <c r="R616" s="77"/>
    </row>
    <row r="617">
      <c r="A617" s="77"/>
      <c r="B617" s="77"/>
      <c r="C617" s="77"/>
      <c r="D617" s="77"/>
      <c r="E617" s="77"/>
      <c r="F617" s="101"/>
      <c r="G617" s="77"/>
      <c r="H617" s="79"/>
      <c r="I617" s="77"/>
      <c r="J617" s="77"/>
      <c r="K617" s="79"/>
      <c r="L617" s="77"/>
      <c r="M617" s="77"/>
      <c r="N617" s="79"/>
      <c r="O617" s="77"/>
      <c r="P617" s="77"/>
      <c r="Q617" s="79"/>
      <c r="R617" s="77"/>
    </row>
    <row r="618">
      <c r="A618" s="77"/>
      <c r="B618" s="77"/>
      <c r="C618" s="77"/>
      <c r="D618" s="77"/>
      <c r="E618" s="77"/>
      <c r="F618" s="101"/>
      <c r="G618" s="77"/>
      <c r="H618" s="79"/>
      <c r="I618" s="77"/>
      <c r="J618" s="77"/>
      <c r="K618" s="79"/>
      <c r="L618" s="77"/>
      <c r="M618" s="77"/>
      <c r="N618" s="79"/>
      <c r="O618" s="77"/>
      <c r="P618" s="77"/>
      <c r="Q618" s="79"/>
      <c r="R618" s="77"/>
    </row>
    <row r="619">
      <c r="A619" s="77"/>
      <c r="B619" s="77"/>
      <c r="C619" s="77"/>
      <c r="D619" s="77"/>
      <c r="E619" s="77"/>
      <c r="F619" s="101"/>
      <c r="G619" s="77"/>
      <c r="H619" s="79"/>
      <c r="I619" s="77"/>
      <c r="J619" s="77"/>
      <c r="K619" s="79"/>
      <c r="L619" s="77"/>
      <c r="M619" s="77"/>
      <c r="N619" s="79"/>
      <c r="O619" s="77"/>
      <c r="P619" s="77"/>
      <c r="Q619" s="79"/>
      <c r="R619" s="77"/>
    </row>
    <row r="620">
      <c r="A620" s="77"/>
      <c r="B620" s="77"/>
      <c r="C620" s="77"/>
      <c r="D620" s="77"/>
      <c r="E620" s="77"/>
      <c r="F620" s="101"/>
      <c r="G620" s="77"/>
      <c r="H620" s="79"/>
      <c r="I620" s="77"/>
      <c r="J620" s="77"/>
      <c r="K620" s="79"/>
      <c r="L620" s="77"/>
      <c r="M620" s="77"/>
      <c r="N620" s="79"/>
      <c r="O620" s="77"/>
      <c r="P620" s="77"/>
      <c r="Q620" s="79"/>
      <c r="R620" s="77"/>
    </row>
    <row r="621">
      <c r="A621" s="77"/>
      <c r="B621" s="77"/>
      <c r="C621" s="77"/>
      <c r="D621" s="77"/>
      <c r="E621" s="77"/>
      <c r="F621" s="101"/>
      <c r="G621" s="77"/>
      <c r="H621" s="79"/>
      <c r="I621" s="77"/>
      <c r="J621" s="77"/>
      <c r="K621" s="79"/>
      <c r="L621" s="77"/>
      <c r="M621" s="77"/>
      <c r="N621" s="79"/>
      <c r="O621" s="77"/>
      <c r="P621" s="77"/>
      <c r="Q621" s="79"/>
      <c r="R621" s="77"/>
    </row>
    <row r="622">
      <c r="A622" s="77"/>
      <c r="B622" s="77"/>
      <c r="C622" s="77"/>
      <c r="D622" s="77"/>
      <c r="E622" s="77"/>
      <c r="F622" s="101"/>
      <c r="G622" s="77"/>
      <c r="H622" s="79"/>
      <c r="I622" s="77"/>
      <c r="J622" s="77"/>
      <c r="K622" s="79"/>
      <c r="L622" s="77"/>
      <c r="M622" s="77"/>
      <c r="N622" s="79"/>
      <c r="O622" s="77"/>
      <c r="P622" s="77"/>
      <c r="Q622" s="79"/>
      <c r="R622" s="77"/>
    </row>
    <row r="623">
      <c r="A623" s="77"/>
      <c r="B623" s="77"/>
      <c r="C623" s="77"/>
      <c r="D623" s="77"/>
      <c r="E623" s="77"/>
      <c r="F623" s="101"/>
      <c r="G623" s="77"/>
      <c r="H623" s="79"/>
      <c r="I623" s="77"/>
      <c r="J623" s="77"/>
      <c r="K623" s="79"/>
      <c r="L623" s="77"/>
      <c r="M623" s="77"/>
      <c r="N623" s="79"/>
      <c r="O623" s="77"/>
      <c r="P623" s="77"/>
      <c r="Q623" s="79"/>
      <c r="R623" s="77"/>
    </row>
    <row r="624">
      <c r="A624" s="77"/>
      <c r="B624" s="77"/>
      <c r="C624" s="77"/>
      <c r="D624" s="77"/>
      <c r="E624" s="77"/>
      <c r="F624" s="101"/>
      <c r="G624" s="77"/>
      <c r="H624" s="79"/>
      <c r="I624" s="77"/>
      <c r="J624" s="77"/>
      <c r="K624" s="79"/>
      <c r="L624" s="77"/>
      <c r="M624" s="77"/>
      <c r="N624" s="79"/>
      <c r="O624" s="77"/>
      <c r="P624" s="77"/>
      <c r="Q624" s="79"/>
      <c r="R624" s="77"/>
    </row>
    <row r="625">
      <c r="A625" s="77"/>
      <c r="B625" s="77"/>
      <c r="C625" s="77"/>
      <c r="D625" s="77"/>
      <c r="E625" s="77"/>
      <c r="F625" s="101"/>
      <c r="G625" s="77"/>
      <c r="H625" s="79"/>
      <c r="I625" s="77"/>
      <c r="J625" s="77"/>
      <c r="K625" s="79"/>
      <c r="L625" s="77"/>
      <c r="M625" s="77"/>
      <c r="N625" s="79"/>
      <c r="O625" s="77"/>
      <c r="P625" s="77"/>
      <c r="Q625" s="79"/>
      <c r="R625" s="77"/>
    </row>
    <row r="626">
      <c r="A626" s="77"/>
      <c r="B626" s="77"/>
      <c r="C626" s="77"/>
      <c r="D626" s="77"/>
      <c r="E626" s="77"/>
      <c r="F626" s="101"/>
      <c r="G626" s="77"/>
      <c r="H626" s="79"/>
      <c r="I626" s="77"/>
      <c r="J626" s="77"/>
      <c r="K626" s="79"/>
      <c r="L626" s="77"/>
      <c r="M626" s="77"/>
      <c r="N626" s="79"/>
      <c r="O626" s="77"/>
      <c r="P626" s="77"/>
      <c r="Q626" s="79"/>
      <c r="R626" s="77"/>
    </row>
    <row r="627">
      <c r="A627" s="77"/>
      <c r="B627" s="77"/>
      <c r="C627" s="77"/>
      <c r="D627" s="77"/>
      <c r="E627" s="77"/>
      <c r="F627" s="101"/>
      <c r="G627" s="77"/>
      <c r="H627" s="79"/>
      <c r="I627" s="77"/>
      <c r="J627" s="77"/>
      <c r="K627" s="79"/>
      <c r="L627" s="77"/>
      <c r="M627" s="77"/>
      <c r="N627" s="79"/>
      <c r="O627" s="77"/>
      <c r="P627" s="77"/>
      <c r="Q627" s="79"/>
      <c r="R627" s="77"/>
    </row>
    <row r="628">
      <c r="A628" s="77"/>
      <c r="B628" s="77"/>
      <c r="C628" s="77"/>
      <c r="D628" s="77"/>
      <c r="E628" s="77"/>
      <c r="F628" s="101"/>
      <c r="G628" s="77"/>
      <c r="H628" s="79"/>
      <c r="I628" s="77"/>
      <c r="J628" s="77"/>
      <c r="K628" s="79"/>
      <c r="L628" s="77"/>
      <c r="M628" s="77"/>
      <c r="N628" s="79"/>
      <c r="O628" s="77"/>
      <c r="P628" s="77"/>
      <c r="Q628" s="79"/>
      <c r="R628" s="77"/>
    </row>
    <row r="629">
      <c r="A629" s="77"/>
      <c r="B629" s="77"/>
      <c r="C629" s="77"/>
      <c r="D629" s="77"/>
      <c r="E629" s="77"/>
      <c r="F629" s="101"/>
      <c r="G629" s="77"/>
      <c r="H629" s="79"/>
      <c r="I629" s="77"/>
      <c r="J629" s="77"/>
      <c r="K629" s="79"/>
      <c r="L629" s="77"/>
      <c r="M629" s="77"/>
      <c r="N629" s="79"/>
      <c r="O629" s="77"/>
      <c r="P629" s="77"/>
      <c r="Q629" s="79"/>
      <c r="R629" s="77"/>
    </row>
    <row r="630">
      <c r="A630" s="77"/>
      <c r="B630" s="77"/>
      <c r="C630" s="77"/>
      <c r="D630" s="77"/>
      <c r="E630" s="77"/>
      <c r="F630" s="101"/>
      <c r="G630" s="77"/>
      <c r="H630" s="79"/>
      <c r="I630" s="77"/>
      <c r="J630" s="77"/>
      <c r="K630" s="79"/>
      <c r="L630" s="77"/>
      <c r="M630" s="77"/>
      <c r="N630" s="79"/>
      <c r="O630" s="77"/>
      <c r="P630" s="77"/>
      <c r="Q630" s="79"/>
      <c r="R630" s="77"/>
    </row>
    <row r="631">
      <c r="A631" s="77"/>
      <c r="B631" s="77"/>
      <c r="C631" s="77"/>
      <c r="D631" s="77"/>
      <c r="E631" s="77"/>
      <c r="F631" s="101"/>
      <c r="G631" s="77"/>
      <c r="H631" s="79"/>
      <c r="I631" s="77"/>
      <c r="J631" s="77"/>
      <c r="K631" s="79"/>
      <c r="L631" s="77"/>
      <c r="M631" s="77"/>
      <c r="N631" s="79"/>
      <c r="O631" s="77"/>
      <c r="P631" s="77"/>
      <c r="Q631" s="79"/>
      <c r="R631" s="77"/>
    </row>
    <row r="632">
      <c r="A632" s="77"/>
      <c r="B632" s="77"/>
      <c r="C632" s="77"/>
      <c r="D632" s="77"/>
      <c r="E632" s="77"/>
      <c r="F632" s="101"/>
      <c r="G632" s="77"/>
      <c r="H632" s="79"/>
      <c r="I632" s="77"/>
      <c r="J632" s="77"/>
      <c r="K632" s="79"/>
      <c r="L632" s="77"/>
      <c r="M632" s="77"/>
      <c r="N632" s="79"/>
      <c r="O632" s="77"/>
      <c r="P632" s="77"/>
      <c r="Q632" s="79"/>
      <c r="R632" s="77"/>
    </row>
    <row r="633">
      <c r="A633" s="77"/>
      <c r="B633" s="77"/>
      <c r="C633" s="77"/>
      <c r="D633" s="77"/>
      <c r="E633" s="77"/>
      <c r="F633" s="101"/>
      <c r="G633" s="77"/>
      <c r="H633" s="79"/>
      <c r="I633" s="77"/>
      <c r="J633" s="77"/>
      <c r="K633" s="79"/>
      <c r="L633" s="77"/>
      <c r="M633" s="77"/>
      <c r="N633" s="79"/>
      <c r="O633" s="77"/>
      <c r="P633" s="77"/>
      <c r="Q633" s="79"/>
      <c r="R633" s="77"/>
    </row>
    <row r="634">
      <c r="A634" s="77"/>
      <c r="B634" s="77"/>
      <c r="C634" s="77"/>
      <c r="D634" s="77"/>
      <c r="E634" s="77"/>
      <c r="F634" s="101"/>
      <c r="G634" s="77"/>
      <c r="H634" s="79"/>
      <c r="I634" s="77"/>
      <c r="J634" s="77"/>
      <c r="K634" s="79"/>
      <c r="L634" s="77"/>
      <c r="M634" s="77"/>
      <c r="N634" s="79"/>
      <c r="O634" s="77"/>
      <c r="P634" s="77"/>
      <c r="Q634" s="79"/>
      <c r="R634" s="77"/>
    </row>
    <row r="635">
      <c r="A635" s="77"/>
      <c r="B635" s="77"/>
      <c r="C635" s="77"/>
      <c r="D635" s="77"/>
      <c r="E635" s="77"/>
      <c r="F635" s="101"/>
      <c r="G635" s="77"/>
      <c r="H635" s="79"/>
      <c r="I635" s="77"/>
      <c r="J635" s="77"/>
      <c r="K635" s="79"/>
      <c r="L635" s="77"/>
      <c r="M635" s="77"/>
      <c r="N635" s="79"/>
      <c r="O635" s="77"/>
      <c r="P635" s="77"/>
      <c r="Q635" s="79"/>
      <c r="R635" s="77"/>
    </row>
    <row r="636">
      <c r="A636" s="77"/>
      <c r="B636" s="77"/>
      <c r="C636" s="77"/>
      <c r="D636" s="77"/>
      <c r="E636" s="77"/>
      <c r="F636" s="101"/>
      <c r="G636" s="77"/>
      <c r="H636" s="79"/>
      <c r="I636" s="77"/>
      <c r="J636" s="77"/>
      <c r="K636" s="79"/>
      <c r="L636" s="77"/>
      <c r="M636" s="77"/>
      <c r="N636" s="79"/>
      <c r="O636" s="77"/>
      <c r="P636" s="77"/>
      <c r="Q636" s="79"/>
      <c r="R636" s="77"/>
    </row>
    <row r="637">
      <c r="A637" s="77"/>
      <c r="B637" s="77"/>
      <c r="C637" s="77"/>
      <c r="D637" s="77"/>
      <c r="E637" s="77"/>
      <c r="F637" s="101"/>
      <c r="G637" s="77"/>
      <c r="H637" s="79"/>
      <c r="I637" s="77"/>
      <c r="J637" s="77"/>
      <c r="K637" s="79"/>
      <c r="L637" s="77"/>
      <c r="M637" s="77"/>
      <c r="N637" s="79"/>
      <c r="O637" s="77"/>
      <c r="P637" s="77"/>
      <c r="Q637" s="79"/>
      <c r="R637" s="77"/>
    </row>
    <row r="638">
      <c r="A638" s="77"/>
      <c r="B638" s="77"/>
      <c r="C638" s="77"/>
      <c r="D638" s="77"/>
      <c r="E638" s="77"/>
      <c r="F638" s="101"/>
      <c r="G638" s="77"/>
      <c r="H638" s="79"/>
      <c r="I638" s="77"/>
      <c r="J638" s="77"/>
      <c r="K638" s="79"/>
      <c r="L638" s="77"/>
      <c r="M638" s="77"/>
      <c r="N638" s="79"/>
      <c r="O638" s="77"/>
      <c r="P638" s="77"/>
      <c r="Q638" s="79"/>
      <c r="R638" s="77"/>
    </row>
    <row r="639">
      <c r="A639" s="77"/>
      <c r="B639" s="77"/>
      <c r="C639" s="77"/>
      <c r="D639" s="77"/>
      <c r="E639" s="77"/>
      <c r="F639" s="101"/>
      <c r="G639" s="77"/>
      <c r="H639" s="79"/>
      <c r="I639" s="77"/>
      <c r="J639" s="77"/>
      <c r="K639" s="79"/>
      <c r="L639" s="77"/>
      <c r="M639" s="77"/>
      <c r="N639" s="79"/>
      <c r="O639" s="77"/>
      <c r="P639" s="77"/>
      <c r="Q639" s="79"/>
      <c r="R639" s="77"/>
    </row>
    <row r="640">
      <c r="A640" s="77"/>
      <c r="B640" s="77"/>
      <c r="C640" s="77"/>
      <c r="D640" s="77"/>
      <c r="E640" s="77"/>
      <c r="F640" s="101"/>
      <c r="G640" s="77"/>
      <c r="H640" s="79"/>
      <c r="I640" s="77"/>
      <c r="J640" s="77"/>
      <c r="K640" s="79"/>
      <c r="L640" s="77"/>
      <c r="M640" s="77"/>
      <c r="N640" s="79"/>
      <c r="O640" s="77"/>
      <c r="P640" s="77"/>
      <c r="Q640" s="79"/>
      <c r="R640" s="77"/>
    </row>
    <row r="641">
      <c r="A641" s="77"/>
      <c r="B641" s="77"/>
      <c r="C641" s="77"/>
      <c r="D641" s="77"/>
      <c r="E641" s="77"/>
      <c r="F641" s="101"/>
      <c r="G641" s="77"/>
      <c r="H641" s="79"/>
      <c r="I641" s="77"/>
      <c r="J641" s="77"/>
      <c r="K641" s="79"/>
      <c r="L641" s="77"/>
      <c r="M641" s="77"/>
      <c r="N641" s="79"/>
      <c r="O641" s="77"/>
      <c r="P641" s="77"/>
      <c r="Q641" s="79"/>
      <c r="R641" s="77"/>
    </row>
    <row r="642">
      <c r="A642" s="77"/>
      <c r="B642" s="77"/>
      <c r="C642" s="77"/>
      <c r="D642" s="77"/>
      <c r="E642" s="77"/>
      <c r="F642" s="101"/>
      <c r="G642" s="77"/>
      <c r="H642" s="79"/>
      <c r="I642" s="77"/>
      <c r="J642" s="77"/>
      <c r="K642" s="79"/>
      <c r="L642" s="77"/>
      <c r="M642" s="77"/>
      <c r="N642" s="79"/>
      <c r="O642" s="77"/>
      <c r="P642" s="77"/>
      <c r="Q642" s="79"/>
      <c r="R642" s="77"/>
    </row>
    <row r="643">
      <c r="A643" s="77"/>
      <c r="B643" s="77"/>
      <c r="C643" s="77"/>
      <c r="D643" s="77"/>
      <c r="E643" s="77"/>
      <c r="F643" s="101"/>
      <c r="G643" s="77"/>
      <c r="H643" s="79"/>
      <c r="I643" s="77"/>
      <c r="J643" s="77"/>
      <c r="K643" s="79"/>
      <c r="L643" s="77"/>
      <c r="M643" s="77"/>
      <c r="N643" s="79"/>
      <c r="O643" s="77"/>
      <c r="P643" s="77"/>
      <c r="Q643" s="79"/>
      <c r="R643" s="77"/>
    </row>
    <row r="644">
      <c r="A644" s="77"/>
      <c r="B644" s="77"/>
      <c r="C644" s="77"/>
      <c r="D644" s="77"/>
      <c r="E644" s="77"/>
      <c r="F644" s="101"/>
      <c r="G644" s="77"/>
      <c r="H644" s="79"/>
      <c r="I644" s="77"/>
      <c r="J644" s="77"/>
      <c r="K644" s="79"/>
      <c r="L644" s="77"/>
      <c r="M644" s="77"/>
      <c r="N644" s="79"/>
      <c r="O644" s="77"/>
      <c r="P644" s="77"/>
      <c r="Q644" s="79"/>
      <c r="R644" s="77"/>
    </row>
    <row r="645">
      <c r="A645" s="77"/>
      <c r="B645" s="77"/>
      <c r="C645" s="77"/>
      <c r="D645" s="77"/>
      <c r="E645" s="77"/>
      <c r="F645" s="101"/>
      <c r="G645" s="77"/>
      <c r="H645" s="79"/>
      <c r="I645" s="77"/>
      <c r="J645" s="77"/>
      <c r="K645" s="79"/>
      <c r="L645" s="77"/>
      <c r="M645" s="77"/>
      <c r="N645" s="79"/>
      <c r="O645" s="77"/>
      <c r="P645" s="77"/>
      <c r="Q645" s="79"/>
      <c r="R645" s="77"/>
    </row>
    <row r="646">
      <c r="A646" s="77"/>
      <c r="B646" s="77"/>
      <c r="C646" s="77"/>
      <c r="D646" s="77"/>
      <c r="E646" s="77"/>
      <c r="F646" s="101"/>
      <c r="G646" s="77"/>
      <c r="H646" s="79"/>
      <c r="I646" s="77"/>
      <c r="J646" s="77"/>
      <c r="K646" s="79"/>
      <c r="L646" s="77"/>
      <c r="M646" s="77"/>
      <c r="N646" s="79"/>
      <c r="O646" s="77"/>
      <c r="P646" s="77"/>
      <c r="Q646" s="79"/>
      <c r="R646" s="77"/>
    </row>
    <row r="647">
      <c r="A647" s="77"/>
      <c r="B647" s="77"/>
      <c r="C647" s="77"/>
      <c r="D647" s="77"/>
      <c r="E647" s="77"/>
      <c r="F647" s="101"/>
      <c r="G647" s="77"/>
      <c r="H647" s="79"/>
      <c r="I647" s="77"/>
      <c r="J647" s="77"/>
      <c r="K647" s="79"/>
      <c r="L647" s="77"/>
      <c r="M647" s="77"/>
      <c r="N647" s="79"/>
      <c r="O647" s="77"/>
      <c r="P647" s="77"/>
      <c r="Q647" s="79"/>
      <c r="R647" s="77"/>
    </row>
    <row r="648">
      <c r="A648" s="77"/>
      <c r="B648" s="77"/>
      <c r="C648" s="77"/>
      <c r="D648" s="77"/>
      <c r="E648" s="77"/>
      <c r="F648" s="101"/>
      <c r="G648" s="77"/>
      <c r="H648" s="79"/>
      <c r="I648" s="77"/>
      <c r="J648" s="77"/>
      <c r="K648" s="79"/>
      <c r="L648" s="77"/>
      <c r="M648" s="77"/>
      <c r="N648" s="79"/>
      <c r="O648" s="77"/>
      <c r="P648" s="77"/>
      <c r="Q648" s="79"/>
      <c r="R648" s="77"/>
    </row>
    <row r="649">
      <c r="A649" s="77"/>
      <c r="B649" s="77"/>
      <c r="C649" s="77"/>
      <c r="D649" s="77"/>
      <c r="E649" s="77"/>
      <c r="F649" s="101"/>
      <c r="G649" s="77"/>
      <c r="H649" s="79"/>
      <c r="I649" s="77"/>
      <c r="J649" s="77"/>
      <c r="K649" s="79"/>
      <c r="L649" s="77"/>
      <c r="M649" s="77"/>
      <c r="N649" s="79"/>
      <c r="O649" s="77"/>
      <c r="P649" s="77"/>
      <c r="Q649" s="79"/>
      <c r="R649" s="77"/>
    </row>
    <row r="650">
      <c r="A650" s="77"/>
      <c r="B650" s="77"/>
      <c r="C650" s="77"/>
      <c r="D650" s="77"/>
      <c r="E650" s="77"/>
      <c r="F650" s="101"/>
      <c r="G650" s="77"/>
      <c r="H650" s="79"/>
      <c r="I650" s="77"/>
      <c r="J650" s="77"/>
      <c r="K650" s="79"/>
      <c r="L650" s="77"/>
      <c r="M650" s="77"/>
      <c r="N650" s="79"/>
      <c r="O650" s="77"/>
      <c r="P650" s="77"/>
      <c r="Q650" s="79"/>
      <c r="R650" s="77"/>
    </row>
    <row r="651">
      <c r="A651" s="77"/>
      <c r="B651" s="77"/>
      <c r="C651" s="77"/>
      <c r="D651" s="77"/>
      <c r="E651" s="77"/>
      <c r="F651" s="101"/>
      <c r="G651" s="77"/>
      <c r="H651" s="79"/>
      <c r="I651" s="77"/>
      <c r="J651" s="77"/>
      <c r="K651" s="79"/>
      <c r="L651" s="77"/>
      <c r="M651" s="77"/>
      <c r="N651" s="79"/>
      <c r="O651" s="77"/>
      <c r="P651" s="77"/>
      <c r="Q651" s="79"/>
      <c r="R651" s="77"/>
    </row>
    <row r="652">
      <c r="A652" s="77"/>
      <c r="B652" s="77"/>
      <c r="C652" s="77"/>
      <c r="D652" s="77"/>
      <c r="E652" s="77"/>
      <c r="F652" s="101"/>
      <c r="G652" s="77"/>
      <c r="H652" s="79"/>
      <c r="I652" s="77"/>
      <c r="J652" s="77"/>
      <c r="K652" s="79"/>
      <c r="L652" s="77"/>
      <c r="M652" s="77"/>
      <c r="N652" s="79"/>
      <c r="O652" s="77"/>
      <c r="P652" s="77"/>
      <c r="Q652" s="79"/>
      <c r="R652" s="77"/>
    </row>
    <row r="653">
      <c r="A653" s="77"/>
      <c r="B653" s="77"/>
      <c r="C653" s="77"/>
      <c r="D653" s="77"/>
      <c r="E653" s="77"/>
      <c r="F653" s="101"/>
      <c r="G653" s="77"/>
      <c r="H653" s="79"/>
      <c r="I653" s="77"/>
      <c r="J653" s="77"/>
      <c r="K653" s="79"/>
      <c r="L653" s="77"/>
      <c r="M653" s="77"/>
      <c r="N653" s="79"/>
      <c r="O653" s="77"/>
      <c r="P653" s="77"/>
      <c r="Q653" s="79"/>
      <c r="R653" s="77"/>
    </row>
    <row r="654">
      <c r="A654" s="77"/>
      <c r="B654" s="77"/>
      <c r="C654" s="77"/>
      <c r="D654" s="77"/>
      <c r="E654" s="77"/>
      <c r="F654" s="101"/>
      <c r="G654" s="77"/>
      <c r="H654" s="79"/>
      <c r="I654" s="77"/>
      <c r="J654" s="77"/>
      <c r="K654" s="79"/>
      <c r="L654" s="77"/>
      <c r="M654" s="77"/>
      <c r="N654" s="79"/>
      <c r="O654" s="77"/>
      <c r="P654" s="77"/>
      <c r="Q654" s="79"/>
      <c r="R654" s="77"/>
    </row>
    <row r="655">
      <c r="A655" s="77"/>
      <c r="B655" s="77"/>
      <c r="C655" s="77"/>
      <c r="D655" s="77"/>
      <c r="E655" s="77"/>
      <c r="F655" s="101"/>
      <c r="G655" s="77"/>
      <c r="H655" s="79"/>
      <c r="I655" s="77"/>
      <c r="J655" s="77"/>
      <c r="K655" s="79"/>
      <c r="L655" s="77"/>
      <c r="M655" s="77"/>
      <c r="N655" s="79"/>
      <c r="O655" s="77"/>
      <c r="P655" s="77"/>
      <c r="Q655" s="79"/>
      <c r="R655" s="77"/>
    </row>
    <row r="656">
      <c r="A656" s="77"/>
      <c r="B656" s="77"/>
      <c r="C656" s="77"/>
      <c r="D656" s="77"/>
      <c r="E656" s="77"/>
      <c r="F656" s="101"/>
      <c r="G656" s="77"/>
      <c r="H656" s="79"/>
      <c r="I656" s="77"/>
      <c r="J656" s="77"/>
      <c r="K656" s="79"/>
      <c r="L656" s="77"/>
      <c r="M656" s="77"/>
      <c r="N656" s="79"/>
      <c r="O656" s="77"/>
      <c r="P656" s="77"/>
      <c r="Q656" s="79"/>
      <c r="R656" s="77"/>
    </row>
    <row r="657">
      <c r="A657" s="77"/>
      <c r="B657" s="77"/>
      <c r="C657" s="77"/>
      <c r="D657" s="77"/>
      <c r="E657" s="77"/>
      <c r="F657" s="101"/>
      <c r="G657" s="77"/>
      <c r="H657" s="79"/>
      <c r="I657" s="77"/>
      <c r="J657" s="77"/>
      <c r="K657" s="79"/>
      <c r="L657" s="77"/>
      <c r="M657" s="77"/>
      <c r="N657" s="79"/>
      <c r="O657" s="77"/>
      <c r="P657" s="77"/>
      <c r="Q657" s="79"/>
      <c r="R657" s="77"/>
    </row>
    <row r="658">
      <c r="A658" s="77"/>
      <c r="B658" s="77"/>
      <c r="C658" s="77"/>
      <c r="D658" s="77"/>
      <c r="E658" s="77"/>
      <c r="F658" s="101"/>
      <c r="G658" s="77"/>
      <c r="H658" s="79"/>
      <c r="I658" s="77"/>
      <c r="J658" s="77"/>
      <c r="K658" s="79"/>
      <c r="L658" s="77"/>
      <c r="M658" s="77"/>
      <c r="N658" s="79"/>
      <c r="O658" s="77"/>
      <c r="P658" s="77"/>
      <c r="Q658" s="79"/>
      <c r="R658" s="77"/>
    </row>
    <row r="659">
      <c r="A659" s="77"/>
      <c r="B659" s="77"/>
      <c r="C659" s="77"/>
      <c r="D659" s="77"/>
      <c r="E659" s="77"/>
      <c r="F659" s="101"/>
      <c r="G659" s="77"/>
      <c r="H659" s="79"/>
      <c r="I659" s="77"/>
      <c r="J659" s="77"/>
      <c r="K659" s="79"/>
      <c r="L659" s="77"/>
      <c r="M659" s="77"/>
      <c r="N659" s="79"/>
      <c r="O659" s="77"/>
      <c r="P659" s="77"/>
      <c r="Q659" s="79"/>
      <c r="R659" s="77"/>
    </row>
    <row r="660">
      <c r="A660" s="77"/>
      <c r="B660" s="77"/>
      <c r="C660" s="77"/>
      <c r="D660" s="77"/>
      <c r="E660" s="77"/>
      <c r="F660" s="101"/>
      <c r="G660" s="77"/>
      <c r="H660" s="79"/>
      <c r="I660" s="77"/>
      <c r="J660" s="77"/>
      <c r="K660" s="79"/>
      <c r="L660" s="77"/>
      <c r="M660" s="77"/>
      <c r="N660" s="79"/>
      <c r="O660" s="77"/>
      <c r="P660" s="77"/>
      <c r="Q660" s="79"/>
      <c r="R660" s="77"/>
    </row>
    <row r="661">
      <c r="A661" s="77"/>
      <c r="B661" s="77"/>
      <c r="C661" s="77"/>
      <c r="D661" s="77"/>
      <c r="E661" s="77"/>
      <c r="F661" s="101"/>
      <c r="G661" s="77"/>
      <c r="H661" s="79"/>
      <c r="I661" s="77"/>
      <c r="J661" s="77"/>
      <c r="K661" s="79"/>
      <c r="L661" s="77"/>
      <c r="M661" s="77"/>
      <c r="N661" s="79"/>
      <c r="O661" s="77"/>
      <c r="P661" s="77"/>
      <c r="Q661" s="79"/>
      <c r="R661" s="77"/>
    </row>
    <row r="662">
      <c r="A662" s="77"/>
      <c r="B662" s="77"/>
      <c r="C662" s="77"/>
      <c r="D662" s="77"/>
      <c r="E662" s="77"/>
      <c r="F662" s="101"/>
      <c r="G662" s="77"/>
      <c r="H662" s="79"/>
      <c r="I662" s="77"/>
      <c r="J662" s="77"/>
      <c r="K662" s="79"/>
      <c r="L662" s="77"/>
      <c r="M662" s="77"/>
      <c r="N662" s="79"/>
      <c r="O662" s="77"/>
      <c r="P662" s="77"/>
      <c r="Q662" s="79"/>
      <c r="R662" s="77"/>
    </row>
    <row r="663">
      <c r="A663" s="77"/>
      <c r="B663" s="77"/>
      <c r="C663" s="77"/>
      <c r="D663" s="77"/>
      <c r="E663" s="77"/>
      <c r="F663" s="101"/>
      <c r="G663" s="77"/>
      <c r="H663" s="79"/>
      <c r="I663" s="77"/>
      <c r="J663" s="77"/>
      <c r="K663" s="79"/>
      <c r="L663" s="77"/>
      <c r="M663" s="77"/>
      <c r="N663" s="79"/>
      <c r="O663" s="77"/>
      <c r="P663" s="77"/>
      <c r="Q663" s="79"/>
      <c r="R663" s="77"/>
    </row>
    <row r="664">
      <c r="A664" s="77"/>
      <c r="B664" s="77"/>
      <c r="C664" s="77"/>
      <c r="D664" s="77"/>
      <c r="E664" s="77"/>
      <c r="F664" s="101"/>
      <c r="G664" s="77"/>
      <c r="H664" s="79"/>
      <c r="I664" s="77"/>
      <c r="J664" s="77"/>
      <c r="K664" s="79"/>
      <c r="L664" s="77"/>
      <c r="M664" s="77"/>
      <c r="N664" s="79"/>
      <c r="O664" s="77"/>
      <c r="P664" s="77"/>
      <c r="Q664" s="79"/>
      <c r="R664" s="77"/>
    </row>
    <row r="665">
      <c r="A665" s="77"/>
      <c r="B665" s="77"/>
      <c r="C665" s="77"/>
      <c r="D665" s="77"/>
      <c r="E665" s="77"/>
      <c r="F665" s="101"/>
      <c r="G665" s="77"/>
      <c r="H665" s="79"/>
      <c r="I665" s="77"/>
      <c r="J665" s="77"/>
      <c r="K665" s="79"/>
      <c r="L665" s="77"/>
      <c r="M665" s="77"/>
      <c r="N665" s="79"/>
      <c r="O665" s="77"/>
      <c r="P665" s="77"/>
      <c r="Q665" s="79"/>
      <c r="R665" s="77"/>
    </row>
    <row r="666">
      <c r="A666" s="77"/>
      <c r="B666" s="77"/>
      <c r="C666" s="77"/>
      <c r="D666" s="77"/>
      <c r="E666" s="77"/>
      <c r="F666" s="101"/>
      <c r="G666" s="77"/>
      <c r="H666" s="79"/>
      <c r="I666" s="77"/>
      <c r="J666" s="77"/>
      <c r="K666" s="79"/>
      <c r="L666" s="77"/>
      <c r="M666" s="77"/>
      <c r="N666" s="79"/>
      <c r="O666" s="77"/>
      <c r="P666" s="77"/>
      <c r="Q666" s="79"/>
      <c r="R666" s="77"/>
    </row>
    <row r="667">
      <c r="A667" s="77"/>
      <c r="B667" s="77"/>
      <c r="C667" s="77"/>
      <c r="D667" s="77"/>
      <c r="E667" s="77"/>
      <c r="F667" s="101"/>
      <c r="G667" s="77"/>
      <c r="H667" s="79"/>
      <c r="I667" s="77"/>
      <c r="J667" s="77"/>
      <c r="K667" s="79"/>
      <c r="L667" s="77"/>
      <c r="M667" s="77"/>
      <c r="N667" s="79"/>
      <c r="O667" s="77"/>
      <c r="P667" s="77"/>
      <c r="Q667" s="79"/>
      <c r="R667" s="77"/>
    </row>
    <row r="668">
      <c r="A668" s="77"/>
      <c r="B668" s="77"/>
      <c r="C668" s="77"/>
      <c r="D668" s="77"/>
      <c r="E668" s="77"/>
      <c r="F668" s="101"/>
      <c r="G668" s="77"/>
      <c r="H668" s="79"/>
      <c r="I668" s="77"/>
      <c r="J668" s="77"/>
      <c r="K668" s="79"/>
      <c r="L668" s="77"/>
      <c r="M668" s="77"/>
      <c r="N668" s="79"/>
      <c r="O668" s="77"/>
      <c r="P668" s="77"/>
      <c r="Q668" s="79"/>
      <c r="R668" s="77"/>
    </row>
    <row r="669">
      <c r="A669" s="77"/>
      <c r="B669" s="77"/>
      <c r="C669" s="77"/>
      <c r="D669" s="77"/>
      <c r="E669" s="77"/>
      <c r="F669" s="101"/>
      <c r="G669" s="77"/>
      <c r="H669" s="79"/>
      <c r="I669" s="77"/>
      <c r="J669" s="77"/>
      <c r="K669" s="79"/>
      <c r="L669" s="77"/>
      <c r="M669" s="77"/>
      <c r="N669" s="79"/>
      <c r="O669" s="77"/>
      <c r="P669" s="77"/>
      <c r="Q669" s="79"/>
      <c r="R669" s="77"/>
    </row>
    <row r="670">
      <c r="A670" s="77"/>
      <c r="B670" s="77"/>
      <c r="C670" s="77"/>
      <c r="D670" s="77"/>
      <c r="E670" s="77"/>
      <c r="F670" s="101"/>
      <c r="G670" s="77"/>
      <c r="H670" s="79"/>
      <c r="I670" s="77"/>
      <c r="J670" s="77"/>
      <c r="K670" s="79"/>
      <c r="L670" s="77"/>
      <c r="M670" s="77"/>
      <c r="N670" s="79"/>
      <c r="O670" s="77"/>
      <c r="P670" s="77"/>
      <c r="Q670" s="79"/>
      <c r="R670" s="77"/>
    </row>
    <row r="671">
      <c r="A671" s="77"/>
      <c r="B671" s="77"/>
      <c r="C671" s="77"/>
      <c r="D671" s="77"/>
      <c r="E671" s="77"/>
      <c r="F671" s="101"/>
      <c r="G671" s="77"/>
      <c r="H671" s="79"/>
      <c r="I671" s="77"/>
      <c r="J671" s="77"/>
      <c r="K671" s="79"/>
      <c r="L671" s="77"/>
      <c r="M671" s="77"/>
      <c r="N671" s="79"/>
      <c r="O671" s="77"/>
      <c r="P671" s="77"/>
      <c r="Q671" s="79"/>
      <c r="R671" s="77"/>
    </row>
    <row r="672">
      <c r="A672" s="77"/>
      <c r="B672" s="77"/>
      <c r="C672" s="77"/>
      <c r="D672" s="77"/>
      <c r="E672" s="77"/>
      <c r="F672" s="101"/>
      <c r="G672" s="77"/>
      <c r="H672" s="79"/>
      <c r="I672" s="77"/>
      <c r="J672" s="77"/>
      <c r="K672" s="79"/>
      <c r="L672" s="77"/>
      <c r="M672" s="77"/>
      <c r="N672" s="79"/>
      <c r="O672" s="77"/>
      <c r="P672" s="77"/>
      <c r="Q672" s="79"/>
      <c r="R672" s="77"/>
    </row>
    <row r="673">
      <c r="A673" s="77"/>
      <c r="B673" s="77"/>
      <c r="C673" s="77"/>
      <c r="D673" s="77"/>
      <c r="E673" s="77"/>
      <c r="F673" s="101"/>
      <c r="G673" s="77"/>
      <c r="H673" s="79"/>
      <c r="I673" s="77"/>
      <c r="J673" s="77"/>
      <c r="K673" s="79"/>
      <c r="L673" s="77"/>
      <c r="M673" s="77"/>
      <c r="N673" s="79"/>
      <c r="O673" s="77"/>
      <c r="P673" s="77"/>
      <c r="Q673" s="79"/>
      <c r="R673" s="77"/>
    </row>
    <row r="674">
      <c r="A674" s="77"/>
      <c r="B674" s="77"/>
      <c r="C674" s="77"/>
      <c r="D674" s="77"/>
      <c r="E674" s="77"/>
      <c r="F674" s="101"/>
      <c r="G674" s="77"/>
      <c r="H674" s="79"/>
      <c r="I674" s="77"/>
      <c r="J674" s="77"/>
      <c r="K674" s="79"/>
      <c r="L674" s="77"/>
      <c r="M674" s="77"/>
      <c r="N674" s="79"/>
      <c r="O674" s="77"/>
      <c r="P674" s="77"/>
      <c r="Q674" s="79"/>
      <c r="R674" s="77"/>
    </row>
    <row r="675">
      <c r="A675" s="77"/>
      <c r="B675" s="77"/>
      <c r="C675" s="77"/>
      <c r="D675" s="77"/>
      <c r="E675" s="77"/>
      <c r="F675" s="101"/>
      <c r="G675" s="77"/>
      <c r="H675" s="79"/>
      <c r="I675" s="77"/>
      <c r="J675" s="77"/>
      <c r="K675" s="79"/>
      <c r="L675" s="77"/>
      <c r="M675" s="77"/>
      <c r="N675" s="79"/>
      <c r="O675" s="77"/>
      <c r="P675" s="77"/>
      <c r="Q675" s="79"/>
      <c r="R675" s="77"/>
    </row>
    <row r="676">
      <c r="A676" s="77"/>
      <c r="B676" s="77"/>
      <c r="C676" s="77"/>
      <c r="D676" s="77"/>
      <c r="E676" s="77"/>
      <c r="F676" s="101"/>
      <c r="G676" s="77"/>
      <c r="H676" s="79"/>
      <c r="I676" s="77"/>
      <c r="J676" s="77"/>
      <c r="K676" s="79"/>
      <c r="L676" s="77"/>
      <c r="M676" s="77"/>
      <c r="N676" s="79"/>
      <c r="O676" s="77"/>
      <c r="P676" s="77"/>
      <c r="Q676" s="79"/>
      <c r="R676" s="77"/>
    </row>
    <row r="677">
      <c r="A677" s="77"/>
      <c r="B677" s="77"/>
      <c r="C677" s="77"/>
      <c r="D677" s="77"/>
      <c r="E677" s="77"/>
      <c r="F677" s="101"/>
      <c r="G677" s="77"/>
      <c r="H677" s="79"/>
      <c r="I677" s="77"/>
      <c r="J677" s="77"/>
      <c r="K677" s="79"/>
      <c r="L677" s="77"/>
      <c r="M677" s="77"/>
      <c r="N677" s="79"/>
      <c r="O677" s="77"/>
      <c r="P677" s="77"/>
      <c r="Q677" s="79"/>
      <c r="R677" s="77"/>
    </row>
    <row r="678">
      <c r="A678" s="77"/>
      <c r="B678" s="77"/>
      <c r="C678" s="77"/>
      <c r="D678" s="77"/>
      <c r="E678" s="77"/>
      <c r="F678" s="101"/>
      <c r="G678" s="77"/>
      <c r="H678" s="79"/>
      <c r="I678" s="77"/>
      <c r="J678" s="77"/>
      <c r="K678" s="79"/>
      <c r="L678" s="77"/>
      <c r="M678" s="77"/>
      <c r="N678" s="79"/>
      <c r="O678" s="77"/>
      <c r="P678" s="77"/>
      <c r="Q678" s="79"/>
      <c r="R678" s="77"/>
    </row>
    <row r="679">
      <c r="A679" s="77"/>
      <c r="B679" s="77"/>
      <c r="C679" s="77"/>
      <c r="D679" s="77"/>
      <c r="E679" s="77"/>
      <c r="F679" s="101"/>
      <c r="G679" s="77"/>
      <c r="H679" s="79"/>
      <c r="I679" s="77"/>
      <c r="J679" s="77"/>
      <c r="K679" s="79"/>
      <c r="L679" s="77"/>
      <c r="M679" s="77"/>
      <c r="N679" s="79"/>
      <c r="O679" s="77"/>
      <c r="P679" s="77"/>
      <c r="Q679" s="79"/>
      <c r="R679" s="77"/>
    </row>
    <row r="680">
      <c r="A680" s="77"/>
      <c r="B680" s="77"/>
      <c r="C680" s="77"/>
      <c r="D680" s="77"/>
      <c r="E680" s="77"/>
      <c r="F680" s="101"/>
      <c r="G680" s="77"/>
      <c r="H680" s="79"/>
      <c r="I680" s="77"/>
      <c r="J680" s="77"/>
      <c r="K680" s="79"/>
      <c r="L680" s="77"/>
      <c r="M680" s="77"/>
      <c r="N680" s="79"/>
      <c r="O680" s="77"/>
      <c r="P680" s="77"/>
      <c r="Q680" s="79"/>
      <c r="R680" s="77"/>
    </row>
    <row r="681">
      <c r="A681" s="77"/>
      <c r="B681" s="77"/>
      <c r="C681" s="77"/>
      <c r="D681" s="77"/>
      <c r="E681" s="77"/>
      <c r="F681" s="101"/>
      <c r="G681" s="77"/>
      <c r="H681" s="79"/>
      <c r="I681" s="77"/>
      <c r="J681" s="77"/>
      <c r="K681" s="79"/>
      <c r="L681" s="77"/>
      <c r="M681" s="77"/>
      <c r="N681" s="79"/>
      <c r="O681" s="77"/>
      <c r="P681" s="77"/>
      <c r="Q681" s="79"/>
      <c r="R681" s="77"/>
    </row>
    <row r="682">
      <c r="A682" s="77"/>
      <c r="B682" s="77"/>
      <c r="C682" s="77"/>
      <c r="D682" s="77"/>
      <c r="E682" s="77"/>
      <c r="F682" s="101"/>
      <c r="G682" s="77"/>
      <c r="H682" s="79"/>
      <c r="I682" s="77"/>
      <c r="J682" s="77"/>
      <c r="K682" s="79"/>
      <c r="L682" s="77"/>
      <c r="M682" s="77"/>
      <c r="N682" s="79"/>
      <c r="O682" s="77"/>
      <c r="P682" s="77"/>
      <c r="Q682" s="79"/>
      <c r="R682" s="77"/>
    </row>
    <row r="683">
      <c r="A683" s="77"/>
      <c r="B683" s="77"/>
      <c r="C683" s="77"/>
      <c r="D683" s="77"/>
      <c r="E683" s="77"/>
      <c r="F683" s="101"/>
      <c r="G683" s="77"/>
      <c r="H683" s="79"/>
      <c r="I683" s="77"/>
      <c r="J683" s="77"/>
      <c r="K683" s="79"/>
      <c r="L683" s="77"/>
      <c r="M683" s="77"/>
      <c r="N683" s="79"/>
      <c r="O683" s="77"/>
      <c r="P683" s="77"/>
      <c r="Q683" s="79"/>
      <c r="R683" s="77"/>
    </row>
    <row r="684">
      <c r="A684" s="77"/>
      <c r="B684" s="77"/>
      <c r="C684" s="77"/>
      <c r="D684" s="77"/>
      <c r="E684" s="77"/>
      <c r="F684" s="101"/>
      <c r="G684" s="77"/>
      <c r="H684" s="79"/>
      <c r="I684" s="77"/>
      <c r="J684" s="77"/>
      <c r="K684" s="79"/>
      <c r="L684" s="77"/>
      <c r="M684" s="77"/>
      <c r="N684" s="79"/>
      <c r="O684" s="77"/>
      <c r="P684" s="77"/>
      <c r="Q684" s="79"/>
      <c r="R684" s="77"/>
    </row>
    <row r="685">
      <c r="A685" s="77"/>
      <c r="B685" s="77"/>
      <c r="C685" s="77"/>
      <c r="D685" s="77"/>
      <c r="E685" s="77"/>
      <c r="F685" s="101"/>
      <c r="G685" s="77"/>
      <c r="H685" s="79"/>
      <c r="I685" s="77"/>
      <c r="J685" s="77"/>
      <c r="K685" s="79"/>
      <c r="L685" s="77"/>
      <c r="M685" s="77"/>
      <c r="N685" s="79"/>
      <c r="O685" s="77"/>
      <c r="P685" s="77"/>
      <c r="Q685" s="79"/>
      <c r="R685" s="77"/>
    </row>
    <row r="686">
      <c r="A686" s="77"/>
      <c r="B686" s="77"/>
      <c r="C686" s="77"/>
      <c r="D686" s="77"/>
      <c r="E686" s="77"/>
      <c r="F686" s="101"/>
      <c r="G686" s="77"/>
      <c r="H686" s="79"/>
      <c r="I686" s="77"/>
      <c r="J686" s="77"/>
      <c r="K686" s="79"/>
      <c r="L686" s="77"/>
      <c r="M686" s="77"/>
      <c r="N686" s="79"/>
      <c r="O686" s="77"/>
      <c r="P686" s="77"/>
      <c r="Q686" s="79"/>
      <c r="R686" s="77"/>
    </row>
    <row r="687">
      <c r="A687" s="77"/>
      <c r="B687" s="77"/>
      <c r="C687" s="77"/>
      <c r="D687" s="77"/>
      <c r="E687" s="77"/>
      <c r="F687" s="101"/>
      <c r="G687" s="77"/>
      <c r="H687" s="79"/>
      <c r="I687" s="77"/>
      <c r="J687" s="77"/>
      <c r="K687" s="79"/>
      <c r="L687" s="77"/>
      <c r="M687" s="77"/>
      <c r="N687" s="79"/>
      <c r="O687" s="77"/>
      <c r="P687" s="77"/>
      <c r="Q687" s="79"/>
      <c r="R687" s="77"/>
    </row>
    <row r="688">
      <c r="A688" s="77"/>
      <c r="B688" s="77"/>
      <c r="C688" s="77"/>
      <c r="D688" s="77"/>
      <c r="E688" s="77"/>
      <c r="F688" s="101"/>
      <c r="G688" s="77"/>
      <c r="H688" s="79"/>
      <c r="I688" s="77"/>
      <c r="J688" s="77"/>
      <c r="K688" s="79"/>
      <c r="L688" s="77"/>
      <c r="M688" s="77"/>
      <c r="N688" s="79"/>
      <c r="O688" s="77"/>
      <c r="P688" s="77"/>
      <c r="Q688" s="79"/>
      <c r="R688" s="77"/>
    </row>
    <row r="689">
      <c r="A689" s="77"/>
      <c r="B689" s="77"/>
      <c r="C689" s="77"/>
      <c r="D689" s="77"/>
      <c r="E689" s="77"/>
      <c r="F689" s="101"/>
      <c r="G689" s="77"/>
      <c r="H689" s="79"/>
      <c r="I689" s="77"/>
      <c r="J689" s="77"/>
      <c r="K689" s="79"/>
      <c r="L689" s="77"/>
      <c r="M689" s="77"/>
      <c r="N689" s="79"/>
      <c r="O689" s="77"/>
      <c r="P689" s="77"/>
      <c r="Q689" s="79"/>
      <c r="R689" s="77"/>
    </row>
    <row r="690">
      <c r="A690" s="77"/>
      <c r="B690" s="77"/>
      <c r="C690" s="77"/>
      <c r="D690" s="77"/>
      <c r="E690" s="77"/>
      <c r="F690" s="101"/>
      <c r="G690" s="77"/>
      <c r="H690" s="79"/>
      <c r="I690" s="77"/>
      <c r="J690" s="77"/>
      <c r="K690" s="79"/>
      <c r="L690" s="77"/>
      <c r="M690" s="77"/>
      <c r="N690" s="79"/>
      <c r="O690" s="77"/>
      <c r="P690" s="77"/>
      <c r="Q690" s="79"/>
      <c r="R690" s="77"/>
    </row>
    <row r="691">
      <c r="A691" s="77"/>
      <c r="B691" s="77"/>
      <c r="C691" s="77"/>
      <c r="D691" s="77"/>
      <c r="E691" s="77"/>
      <c r="F691" s="101"/>
      <c r="G691" s="77"/>
      <c r="H691" s="79"/>
      <c r="I691" s="77"/>
      <c r="J691" s="77"/>
      <c r="K691" s="79"/>
      <c r="L691" s="77"/>
      <c r="M691" s="77"/>
      <c r="N691" s="79"/>
      <c r="O691" s="77"/>
      <c r="P691" s="77"/>
      <c r="Q691" s="79"/>
      <c r="R691" s="77"/>
    </row>
    <row r="692">
      <c r="A692" s="77"/>
      <c r="B692" s="77"/>
      <c r="C692" s="77"/>
      <c r="D692" s="77"/>
      <c r="E692" s="77"/>
      <c r="F692" s="101"/>
      <c r="G692" s="77"/>
      <c r="H692" s="79"/>
      <c r="I692" s="77"/>
      <c r="J692" s="77"/>
      <c r="K692" s="79"/>
      <c r="L692" s="77"/>
      <c r="M692" s="77"/>
      <c r="N692" s="79"/>
      <c r="O692" s="77"/>
      <c r="P692" s="77"/>
      <c r="Q692" s="79"/>
      <c r="R692" s="77"/>
    </row>
    <row r="693">
      <c r="A693" s="77"/>
      <c r="B693" s="77"/>
      <c r="C693" s="77"/>
      <c r="D693" s="77"/>
      <c r="E693" s="77"/>
      <c r="F693" s="101"/>
      <c r="G693" s="77"/>
      <c r="H693" s="79"/>
      <c r="I693" s="77"/>
      <c r="J693" s="77"/>
      <c r="K693" s="79"/>
      <c r="L693" s="77"/>
      <c r="M693" s="77"/>
      <c r="N693" s="79"/>
      <c r="O693" s="77"/>
      <c r="P693" s="77"/>
      <c r="Q693" s="79"/>
      <c r="R693" s="77"/>
    </row>
    <row r="694">
      <c r="A694" s="77"/>
      <c r="B694" s="77"/>
      <c r="C694" s="77"/>
      <c r="D694" s="77"/>
      <c r="E694" s="77"/>
      <c r="F694" s="101"/>
      <c r="G694" s="77"/>
      <c r="H694" s="79"/>
      <c r="I694" s="77"/>
      <c r="J694" s="77"/>
      <c r="K694" s="79"/>
      <c r="L694" s="77"/>
      <c r="M694" s="77"/>
      <c r="N694" s="79"/>
      <c r="O694" s="77"/>
      <c r="P694" s="77"/>
      <c r="Q694" s="79"/>
      <c r="R694" s="77"/>
    </row>
    <row r="695">
      <c r="A695" s="77"/>
      <c r="B695" s="77"/>
      <c r="C695" s="77"/>
      <c r="D695" s="77"/>
      <c r="E695" s="77"/>
      <c r="F695" s="101"/>
      <c r="G695" s="77"/>
      <c r="H695" s="79"/>
      <c r="I695" s="77"/>
      <c r="J695" s="77"/>
      <c r="K695" s="79"/>
      <c r="L695" s="77"/>
      <c r="M695" s="77"/>
      <c r="N695" s="79"/>
      <c r="O695" s="77"/>
      <c r="P695" s="77"/>
      <c r="Q695" s="79"/>
      <c r="R695" s="77"/>
    </row>
    <row r="696">
      <c r="A696" s="77"/>
      <c r="B696" s="77"/>
      <c r="C696" s="77"/>
      <c r="D696" s="77"/>
      <c r="E696" s="77"/>
      <c r="F696" s="101"/>
      <c r="G696" s="77"/>
      <c r="H696" s="79"/>
      <c r="I696" s="77"/>
      <c r="J696" s="77"/>
      <c r="K696" s="79"/>
      <c r="L696" s="77"/>
      <c r="M696" s="77"/>
      <c r="N696" s="79"/>
      <c r="O696" s="77"/>
      <c r="P696" s="77"/>
      <c r="Q696" s="79"/>
      <c r="R696" s="77"/>
    </row>
    <row r="697">
      <c r="A697" s="77"/>
      <c r="B697" s="77"/>
      <c r="C697" s="77"/>
      <c r="D697" s="77"/>
      <c r="E697" s="77"/>
      <c r="F697" s="101"/>
      <c r="G697" s="77"/>
      <c r="H697" s="79"/>
      <c r="I697" s="77"/>
      <c r="J697" s="77"/>
      <c r="K697" s="79"/>
      <c r="L697" s="77"/>
      <c r="M697" s="77"/>
      <c r="N697" s="79"/>
      <c r="O697" s="77"/>
      <c r="P697" s="77"/>
      <c r="Q697" s="79"/>
      <c r="R697" s="77"/>
    </row>
    <row r="698">
      <c r="A698" s="77"/>
      <c r="B698" s="77"/>
      <c r="C698" s="77"/>
      <c r="D698" s="77"/>
      <c r="E698" s="77"/>
      <c r="F698" s="101"/>
      <c r="G698" s="77"/>
      <c r="H698" s="79"/>
      <c r="I698" s="77"/>
      <c r="J698" s="77"/>
      <c r="K698" s="79"/>
      <c r="L698" s="77"/>
      <c r="M698" s="77"/>
      <c r="N698" s="79"/>
      <c r="O698" s="77"/>
      <c r="P698" s="77"/>
      <c r="Q698" s="79"/>
      <c r="R698" s="77"/>
    </row>
    <row r="699">
      <c r="A699" s="77"/>
      <c r="B699" s="77"/>
      <c r="C699" s="77"/>
      <c r="D699" s="77"/>
      <c r="E699" s="77"/>
      <c r="F699" s="101"/>
      <c r="G699" s="77"/>
      <c r="H699" s="79"/>
      <c r="I699" s="77"/>
      <c r="J699" s="77"/>
      <c r="K699" s="79"/>
      <c r="L699" s="77"/>
      <c r="M699" s="77"/>
      <c r="N699" s="79"/>
      <c r="O699" s="77"/>
      <c r="P699" s="77"/>
      <c r="Q699" s="79"/>
      <c r="R699" s="77"/>
    </row>
    <row r="700">
      <c r="A700" s="77"/>
      <c r="B700" s="77"/>
      <c r="C700" s="77"/>
      <c r="D700" s="77"/>
      <c r="E700" s="77"/>
      <c r="F700" s="101"/>
      <c r="G700" s="77"/>
      <c r="H700" s="79"/>
      <c r="I700" s="77"/>
      <c r="J700" s="77"/>
      <c r="K700" s="79"/>
      <c r="L700" s="77"/>
      <c r="M700" s="77"/>
      <c r="N700" s="79"/>
      <c r="O700" s="77"/>
      <c r="P700" s="77"/>
      <c r="Q700" s="79"/>
      <c r="R700" s="77"/>
    </row>
    <row r="701">
      <c r="A701" s="77"/>
      <c r="B701" s="77"/>
      <c r="C701" s="77"/>
      <c r="D701" s="77"/>
      <c r="E701" s="77"/>
      <c r="F701" s="101"/>
      <c r="G701" s="77"/>
      <c r="H701" s="79"/>
      <c r="I701" s="77"/>
      <c r="J701" s="77"/>
      <c r="K701" s="79"/>
      <c r="L701" s="77"/>
      <c r="M701" s="77"/>
      <c r="N701" s="79"/>
      <c r="O701" s="77"/>
      <c r="P701" s="77"/>
      <c r="Q701" s="79"/>
      <c r="R701" s="77"/>
    </row>
    <row r="702">
      <c r="A702" s="77"/>
      <c r="B702" s="77"/>
      <c r="C702" s="77"/>
      <c r="D702" s="77"/>
      <c r="E702" s="77"/>
      <c r="F702" s="101"/>
      <c r="G702" s="77"/>
      <c r="H702" s="79"/>
      <c r="I702" s="77"/>
      <c r="J702" s="77"/>
      <c r="K702" s="79"/>
      <c r="L702" s="77"/>
      <c r="M702" s="77"/>
      <c r="N702" s="79"/>
      <c r="O702" s="77"/>
      <c r="P702" s="77"/>
      <c r="Q702" s="79"/>
      <c r="R702" s="77"/>
    </row>
    <row r="703">
      <c r="A703" s="77"/>
      <c r="B703" s="77"/>
      <c r="C703" s="77"/>
      <c r="D703" s="77"/>
      <c r="E703" s="77"/>
      <c r="F703" s="101"/>
      <c r="G703" s="77"/>
      <c r="H703" s="79"/>
      <c r="I703" s="77"/>
      <c r="J703" s="77"/>
      <c r="K703" s="79"/>
      <c r="L703" s="77"/>
      <c r="M703" s="77"/>
      <c r="N703" s="79"/>
      <c r="O703" s="77"/>
      <c r="P703" s="77"/>
      <c r="Q703" s="79"/>
      <c r="R703" s="77"/>
    </row>
    <row r="704">
      <c r="A704" s="77"/>
      <c r="B704" s="77"/>
      <c r="C704" s="77"/>
      <c r="D704" s="77"/>
      <c r="E704" s="77"/>
      <c r="F704" s="101"/>
      <c r="G704" s="77"/>
      <c r="H704" s="79"/>
      <c r="I704" s="77"/>
      <c r="J704" s="77"/>
      <c r="K704" s="79"/>
      <c r="L704" s="77"/>
      <c r="M704" s="77"/>
      <c r="N704" s="79"/>
      <c r="O704" s="77"/>
      <c r="P704" s="77"/>
      <c r="Q704" s="79"/>
      <c r="R704" s="77"/>
    </row>
    <row r="705">
      <c r="A705" s="77"/>
      <c r="B705" s="77"/>
      <c r="C705" s="77"/>
      <c r="D705" s="77"/>
      <c r="E705" s="77"/>
      <c r="F705" s="101"/>
      <c r="G705" s="77"/>
      <c r="H705" s="79"/>
      <c r="I705" s="77"/>
      <c r="J705" s="77"/>
      <c r="K705" s="79"/>
      <c r="L705" s="77"/>
      <c r="M705" s="77"/>
      <c r="N705" s="79"/>
      <c r="O705" s="77"/>
      <c r="P705" s="77"/>
      <c r="Q705" s="79"/>
      <c r="R705" s="77"/>
    </row>
    <row r="706">
      <c r="A706" s="77"/>
      <c r="B706" s="77"/>
      <c r="C706" s="77"/>
      <c r="D706" s="77"/>
      <c r="E706" s="77"/>
      <c r="F706" s="101"/>
      <c r="G706" s="77"/>
      <c r="H706" s="79"/>
      <c r="I706" s="77"/>
      <c r="J706" s="77"/>
      <c r="K706" s="79"/>
      <c r="L706" s="77"/>
      <c r="M706" s="77"/>
      <c r="N706" s="79"/>
      <c r="O706" s="77"/>
      <c r="P706" s="77"/>
      <c r="Q706" s="79"/>
      <c r="R706" s="77"/>
    </row>
    <row r="707">
      <c r="A707" s="77"/>
      <c r="B707" s="77"/>
      <c r="C707" s="77"/>
      <c r="D707" s="77"/>
      <c r="E707" s="77"/>
      <c r="F707" s="101"/>
      <c r="G707" s="77"/>
      <c r="H707" s="79"/>
      <c r="I707" s="77"/>
      <c r="J707" s="77"/>
      <c r="K707" s="79"/>
      <c r="L707" s="77"/>
      <c r="M707" s="77"/>
      <c r="N707" s="79"/>
      <c r="O707" s="77"/>
      <c r="P707" s="77"/>
      <c r="Q707" s="79"/>
      <c r="R707" s="77"/>
    </row>
    <row r="708">
      <c r="A708" s="77"/>
      <c r="B708" s="77"/>
      <c r="C708" s="77"/>
      <c r="D708" s="77"/>
      <c r="E708" s="77"/>
      <c r="F708" s="101"/>
      <c r="G708" s="77"/>
      <c r="H708" s="79"/>
      <c r="I708" s="77"/>
      <c r="J708" s="77"/>
      <c r="K708" s="79"/>
      <c r="L708" s="77"/>
      <c r="M708" s="77"/>
      <c r="N708" s="79"/>
      <c r="O708" s="77"/>
      <c r="P708" s="77"/>
      <c r="Q708" s="79"/>
      <c r="R708" s="77"/>
    </row>
    <row r="709">
      <c r="A709" s="77"/>
      <c r="B709" s="77"/>
      <c r="C709" s="77"/>
      <c r="D709" s="77"/>
      <c r="E709" s="77"/>
      <c r="F709" s="101"/>
      <c r="G709" s="77"/>
      <c r="H709" s="79"/>
      <c r="I709" s="77"/>
      <c r="J709" s="77"/>
      <c r="K709" s="79"/>
      <c r="L709" s="77"/>
      <c r="M709" s="77"/>
      <c r="N709" s="79"/>
      <c r="O709" s="77"/>
      <c r="P709" s="77"/>
      <c r="Q709" s="79"/>
      <c r="R709" s="77"/>
    </row>
    <row r="710">
      <c r="A710" s="77"/>
      <c r="B710" s="77"/>
      <c r="C710" s="77"/>
      <c r="D710" s="77"/>
      <c r="E710" s="77"/>
      <c r="F710" s="101"/>
      <c r="G710" s="77"/>
      <c r="H710" s="79"/>
      <c r="I710" s="77"/>
      <c r="J710" s="77"/>
      <c r="K710" s="79"/>
      <c r="L710" s="77"/>
      <c r="M710" s="77"/>
      <c r="N710" s="79"/>
      <c r="O710" s="77"/>
      <c r="P710" s="77"/>
      <c r="Q710" s="79"/>
      <c r="R710" s="77"/>
    </row>
    <row r="711">
      <c r="A711" s="77"/>
      <c r="B711" s="77"/>
      <c r="C711" s="77"/>
      <c r="D711" s="77"/>
      <c r="E711" s="77"/>
      <c r="F711" s="101"/>
      <c r="G711" s="77"/>
      <c r="H711" s="79"/>
      <c r="I711" s="77"/>
      <c r="J711" s="77"/>
      <c r="K711" s="79"/>
      <c r="L711" s="77"/>
      <c r="M711" s="77"/>
      <c r="N711" s="79"/>
      <c r="O711" s="77"/>
      <c r="P711" s="77"/>
      <c r="Q711" s="79"/>
      <c r="R711" s="77"/>
    </row>
    <row r="712">
      <c r="A712" s="77"/>
      <c r="B712" s="77"/>
      <c r="C712" s="77"/>
      <c r="D712" s="77"/>
      <c r="E712" s="77"/>
      <c r="F712" s="101"/>
      <c r="G712" s="77"/>
      <c r="H712" s="79"/>
      <c r="I712" s="77"/>
      <c r="J712" s="77"/>
      <c r="K712" s="79"/>
      <c r="L712" s="77"/>
      <c r="M712" s="77"/>
      <c r="N712" s="79"/>
      <c r="O712" s="77"/>
      <c r="P712" s="77"/>
      <c r="Q712" s="79"/>
      <c r="R712" s="77"/>
    </row>
    <row r="713">
      <c r="A713" s="77"/>
      <c r="B713" s="77"/>
      <c r="C713" s="77"/>
      <c r="D713" s="77"/>
      <c r="E713" s="77"/>
      <c r="F713" s="101"/>
      <c r="G713" s="77"/>
      <c r="H713" s="79"/>
      <c r="I713" s="77"/>
      <c r="J713" s="77"/>
      <c r="K713" s="79"/>
      <c r="L713" s="77"/>
      <c r="M713" s="77"/>
      <c r="N713" s="79"/>
      <c r="O713" s="77"/>
      <c r="P713" s="77"/>
      <c r="Q713" s="79"/>
      <c r="R713" s="77"/>
    </row>
    <row r="714">
      <c r="A714" s="77"/>
      <c r="B714" s="77"/>
      <c r="C714" s="77"/>
      <c r="D714" s="77"/>
      <c r="E714" s="77"/>
      <c r="F714" s="101"/>
      <c r="G714" s="77"/>
      <c r="H714" s="79"/>
      <c r="I714" s="77"/>
      <c r="J714" s="77"/>
      <c r="K714" s="79"/>
      <c r="L714" s="77"/>
      <c r="M714" s="77"/>
      <c r="N714" s="79"/>
      <c r="O714" s="77"/>
      <c r="P714" s="77"/>
      <c r="Q714" s="79"/>
      <c r="R714" s="77"/>
    </row>
    <row r="715">
      <c r="A715" s="77"/>
      <c r="B715" s="77"/>
      <c r="C715" s="77"/>
      <c r="D715" s="77"/>
      <c r="E715" s="77"/>
      <c r="F715" s="101"/>
      <c r="G715" s="77"/>
      <c r="H715" s="79"/>
      <c r="I715" s="77"/>
      <c r="J715" s="77"/>
      <c r="K715" s="79"/>
      <c r="L715" s="77"/>
      <c r="M715" s="77"/>
      <c r="N715" s="79"/>
      <c r="O715" s="77"/>
      <c r="P715" s="77"/>
      <c r="Q715" s="79"/>
      <c r="R715" s="77"/>
    </row>
    <row r="716">
      <c r="A716" s="77"/>
      <c r="B716" s="77"/>
      <c r="C716" s="77"/>
      <c r="D716" s="77"/>
      <c r="E716" s="77"/>
      <c r="F716" s="101"/>
      <c r="G716" s="77"/>
      <c r="H716" s="79"/>
      <c r="I716" s="77"/>
      <c r="J716" s="77"/>
      <c r="K716" s="79"/>
      <c r="L716" s="77"/>
      <c r="M716" s="77"/>
      <c r="N716" s="79"/>
      <c r="O716" s="77"/>
      <c r="P716" s="77"/>
      <c r="Q716" s="79"/>
      <c r="R716" s="77"/>
    </row>
    <row r="717">
      <c r="A717" s="77"/>
      <c r="B717" s="77"/>
      <c r="C717" s="77"/>
      <c r="D717" s="77"/>
      <c r="E717" s="77"/>
      <c r="F717" s="101"/>
      <c r="G717" s="77"/>
      <c r="H717" s="79"/>
      <c r="I717" s="77"/>
      <c r="J717" s="77"/>
      <c r="K717" s="79"/>
      <c r="L717" s="77"/>
      <c r="M717" s="77"/>
      <c r="N717" s="79"/>
      <c r="O717" s="77"/>
      <c r="P717" s="77"/>
      <c r="Q717" s="79"/>
      <c r="R717" s="77"/>
    </row>
    <row r="718">
      <c r="A718" s="77"/>
      <c r="B718" s="77"/>
      <c r="C718" s="77"/>
      <c r="D718" s="77"/>
      <c r="E718" s="77"/>
      <c r="F718" s="101"/>
      <c r="G718" s="77"/>
      <c r="H718" s="79"/>
      <c r="I718" s="77"/>
      <c r="J718" s="77"/>
      <c r="K718" s="79"/>
      <c r="L718" s="77"/>
      <c r="M718" s="77"/>
      <c r="N718" s="79"/>
      <c r="O718" s="77"/>
      <c r="P718" s="77"/>
      <c r="Q718" s="79"/>
      <c r="R718" s="77"/>
    </row>
    <row r="719">
      <c r="A719" s="77"/>
      <c r="B719" s="77"/>
      <c r="C719" s="77"/>
      <c r="D719" s="77"/>
      <c r="E719" s="77"/>
      <c r="F719" s="101"/>
      <c r="G719" s="77"/>
      <c r="H719" s="79"/>
      <c r="I719" s="77"/>
      <c r="J719" s="77"/>
      <c r="K719" s="79"/>
      <c r="L719" s="77"/>
      <c r="M719" s="77"/>
      <c r="N719" s="79"/>
      <c r="O719" s="77"/>
      <c r="P719" s="77"/>
      <c r="Q719" s="79"/>
      <c r="R719" s="77"/>
    </row>
    <row r="720">
      <c r="A720" s="77"/>
      <c r="B720" s="77"/>
      <c r="C720" s="77"/>
      <c r="D720" s="77"/>
      <c r="E720" s="77"/>
      <c r="F720" s="101"/>
      <c r="G720" s="77"/>
      <c r="H720" s="79"/>
      <c r="I720" s="77"/>
      <c r="J720" s="77"/>
      <c r="K720" s="79"/>
      <c r="L720" s="77"/>
      <c r="M720" s="77"/>
      <c r="N720" s="79"/>
      <c r="O720" s="77"/>
      <c r="P720" s="77"/>
      <c r="Q720" s="79"/>
      <c r="R720" s="77"/>
    </row>
    <row r="721">
      <c r="A721" s="77"/>
      <c r="B721" s="77"/>
      <c r="C721" s="77"/>
      <c r="D721" s="77"/>
      <c r="E721" s="77"/>
      <c r="F721" s="101"/>
      <c r="G721" s="77"/>
      <c r="H721" s="79"/>
      <c r="I721" s="77"/>
      <c r="J721" s="77"/>
      <c r="K721" s="79"/>
      <c r="L721" s="77"/>
      <c r="M721" s="77"/>
      <c r="N721" s="79"/>
      <c r="O721" s="77"/>
      <c r="P721" s="77"/>
      <c r="Q721" s="79"/>
      <c r="R721" s="77"/>
    </row>
    <row r="722">
      <c r="A722" s="77"/>
      <c r="B722" s="77"/>
      <c r="C722" s="77"/>
      <c r="D722" s="77"/>
      <c r="E722" s="77"/>
      <c r="F722" s="101"/>
      <c r="G722" s="77"/>
      <c r="H722" s="79"/>
      <c r="I722" s="77"/>
      <c r="J722" s="77"/>
      <c r="K722" s="79"/>
      <c r="L722" s="77"/>
      <c r="M722" s="77"/>
      <c r="N722" s="79"/>
      <c r="O722" s="77"/>
      <c r="P722" s="77"/>
      <c r="Q722" s="79"/>
      <c r="R722" s="77"/>
    </row>
    <row r="723">
      <c r="A723" s="77"/>
      <c r="B723" s="77"/>
      <c r="C723" s="77"/>
      <c r="D723" s="77"/>
      <c r="E723" s="77"/>
      <c r="F723" s="101"/>
      <c r="G723" s="77"/>
      <c r="H723" s="79"/>
      <c r="I723" s="77"/>
      <c r="J723" s="77"/>
      <c r="K723" s="79"/>
      <c r="L723" s="77"/>
      <c r="M723" s="77"/>
      <c r="N723" s="79"/>
      <c r="O723" s="77"/>
      <c r="P723" s="77"/>
      <c r="Q723" s="79"/>
      <c r="R723" s="77"/>
    </row>
    <row r="724">
      <c r="A724" s="77"/>
      <c r="B724" s="77"/>
      <c r="C724" s="77"/>
      <c r="D724" s="77"/>
      <c r="E724" s="77"/>
      <c r="F724" s="101"/>
      <c r="G724" s="77"/>
      <c r="H724" s="79"/>
      <c r="I724" s="77"/>
      <c r="J724" s="77"/>
      <c r="K724" s="79"/>
      <c r="L724" s="77"/>
      <c r="M724" s="77"/>
      <c r="N724" s="79"/>
      <c r="O724" s="77"/>
      <c r="P724" s="77"/>
      <c r="Q724" s="79"/>
      <c r="R724" s="77"/>
    </row>
    <row r="725">
      <c r="A725" s="77"/>
      <c r="B725" s="77"/>
      <c r="C725" s="77"/>
      <c r="D725" s="77"/>
      <c r="E725" s="77"/>
      <c r="F725" s="101"/>
      <c r="G725" s="77"/>
      <c r="H725" s="79"/>
      <c r="I725" s="77"/>
      <c r="J725" s="77"/>
      <c r="K725" s="79"/>
      <c r="L725" s="77"/>
      <c r="M725" s="77"/>
      <c r="N725" s="79"/>
      <c r="O725" s="77"/>
      <c r="P725" s="77"/>
      <c r="Q725" s="79"/>
      <c r="R725" s="77"/>
    </row>
    <row r="726">
      <c r="A726" s="77"/>
      <c r="B726" s="77"/>
      <c r="C726" s="77"/>
      <c r="D726" s="77"/>
      <c r="E726" s="77"/>
      <c r="F726" s="101"/>
      <c r="G726" s="77"/>
      <c r="H726" s="79"/>
      <c r="I726" s="77"/>
      <c r="J726" s="77"/>
      <c r="K726" s="79"/>
      <c r="L726" s="77"/>
      <c r="M726" s="77"/>
      <c r="N726" s="79"/>
      <c r="O726" s="77"/>
      <c r="P726" s="77"/>
      <c r="Q726" s="79"/>
      <c r="R726" s="77"/>
    </row>
    <row r="727">
      <c r="A727" s="77"/>
      <c r="B727" s="77"/>
      <c r="C727" s="77"/>
      <c r="D727" s="77"/>
      <c r="E727" s="77"/>
      <c r="F727" s="101"/>
      <c r="G727" s="77"/>
      <c r="H727" s="79"/>
      <c r="I727" s="77"/>
      <c r="J727" s="77"/>
      <c r="K727" s="79"/>
      <c r="L727" s="77"/>
      <c r="M727" s="77"/>
      <c r="N727" s="79"/>
      <c r="O727" s="77"/>
      <c r="P727" s="77"/>
      <c r="Q727" s="79"/>
      <c r="R727" s="77"/>
    </row>
    <row r="728">
      <c r="A728" s="77"/>
      <c r="B728" s="77"/>
      <c r="C728" s="77"/>
      <c r="D728" s="77"/>
      <c r="E728" s="77"/>
      <c r="F728" s="101"/>
      <c r="G728" s="77"/>
      <c r="H728" s="79"/>
      <c r="I728" s="77"/>
      <c r="J728" s="77"/>
      <c r="K728" s="79"/>
      <c r="L728" s="77"/>
      <c r="M728" s="77"/>
      <c r="N728" s="79"/>
      <c r="O728" s="77"/>
      <c r="P728" s="77"/>
      <c r="Q728" s="79"/>
      <c r="R728" s="77"/>
    </row>
    <row r="729">
      <c r="A729" s="77"/>
      <c r="B729" s="77"/>
      <c r="C729" s="77"/>
      <c r="D729" s="77"/>
      <c r="E729" s="77"/>
      <c r="F729" s="101"/>
      <c r="G729" s="77"/>
      <c r="H729" s="79"/>
      <c r="I729" s="77"/>
      <c r="J729" s="77"/>
      <c r="K729" s="79"/>
      <c r="L729" s="77"/>
      <c r="M729" s="77"/>
      <c r="N729" s="79"/>
      <c r="O729" s="77"/>
      <c r="P729" s="77"/>
      <c r="Q729" s="79"/>
      <c r="R729" s="77"/>
    </row>
    <row r="730">
      <c r="A730" s="77"/>
      <c r="B730" s="77"/>
      <c r="C730" s="77"/>
      <c r="D730" s="77"/>
      <c r="E730" s="77"/>
      <c r="F730" s="101"/>
      <c r="G730" s="77"/>
      <c r="H730" s="79"/>
      <c r="I730" s="77"/>
      <c r="J730" s="77"/>
      <c r="K730" s="79"/>
      <c r="L730" s="77"/>
      <c r="M730" s="77"/>
      <c r="N730" s="79"/>
      <c r="O730" s="77"/>
      <c r="P730" s="77"/>
      <c r="Q730" s="79"/>
      <c r="R730" s="77"/>
    </row>
    <row r="731">
      <c r="A731" s="77"/>
      <c r="B731" s="77"/>
      <c r="C731" s="77"/>
      <c r="D731" s="77"/>
      <c r="E731" s="77"/>
      <c r="F731" s="101"/>
      <c r="G731" s="77"/>
      <c r="H731" s="79"/>
      <c r="I731" s="77"/>
      <c r="J731" s="77"/>
      <c r="K731" s="79"/>
      <c r="L731" s="77"/>
      <c r="M731" s="77"/>
      <c r="N731" s="79"/>
      <c r="O731" s="77"/>
      <c r="P731" s="77"/>
      <c r="Q731" s="79"/>
      <c r="R731" s="77"/>
    </row>
    <row r="732">
      <c r="A732" s="77"/>
      <c r="B732" s="77"/>
      <c r="C732" s="77"/>
      <c r="D732" s="77"/>
      <c r="E732" s="77"/>
      <c r="F732" s="101"/>
      <c r="G732" s="77"/>
      <c r="H732" s="79"/>
      <c r="I732" s="77"/>
      <c r="J732" s="77"/>
      <c r="K732" s="79"/>
      <c r="L732" s="77"/>
      <c r="M732" s="77"/>
      <c r="N732" s="79"/>
      <c r="O732" s="77"/>
      <c r="P732" s="77"/>
      <c r="Q732" s="79"/>
      <c r="R732" s="77"/>
    </row>
    <row r="733">
      <c r="A733" s="77"/>
      <c r="B733" s="77"/>
      <c r="C733" s="77"/>
      <c r="D733" s="77"/>
      <c r="E733" s="77"/>
      <c r="F733" s="101"/>
      <c r="G733" s="77"/>
      <c r="H733" s="79"/>
      <c r="I733" s="77"/>
      <c r="J733" s="77"/>
      <c r="K733" s="79"/>
      <c r="L733" s="77"/>
      <c r="M733" s="77"/>
      <c r="N733" s="79"/>
      <c r="O733" s="77"/>
      <c r="P733" s="77"/>
      <c r="Q733" s="79"/>
      <c r="R733" s="77"/>
    </row>
    <row r="734">
      <c r="A734" s="77"/>
      <c r="B734" s="77"/>
      <c r="C734" s="77"/>
      <c r="D734" s="77"/>
      <c r="E734" s="77"/>
      <c r="F734" s="101"/>
      <c r="G734" s="77"/>
      <c r="H734" s="79"/>
      <c r="I734" s="77"/>
      <c r="J734" s="77"/>
      <c r="K734" s="79"/>
      <c r="L734" s="77"/>
      <c r="M734" s="77"/>
      <c r="N734" s="79"/>
      <c r="O734" s="77"/>
      <c r="P734" s="77"/>
      <c r="Q734" s="79"/>
      <c r="R734" s="77"/>
    </row>
    <row r="735">
      <c r="A735" s="77"/>
      <c r="B735" s="77"/>
      <c r="C735" s="77"/>
      <c r="D735" s="77"/>
      <c r="E735" s="77"/>
      <c r="F735" s="101"/>
      <c r="G735" s="77"/>
      <c r="H735" s="79"/>
      <c r="I735" s="77"/>
      <c r="J735" s="77"/>
      <c r="K735" s="79"/>
      <c r="L735" s="77"/>
      <c r="M735" s="77"/>
      <c r="N735" s="79"/>
      <c r="O735" s="77"/>
      <c r="P735" s="77"/>
      <c r="Q735" s="79"/>
      <c r="R735" s="77"/>
    </row>
    <row r="736">
      <c r="A736" s="77"/>
      <c r="B736" s="77"/>
      <c r="C736" s="77"/>
      <c r="D736" s="77"/>
      <c r="E736" s="77"/>
      <c r="F736" s="101"/>
      <c r="G736" s="77"/>
      <c r="H736" s="79"/>
      <c r="I736" s="77"/>
      <c r="J736" s="77"/>
      <c r="K736" s="79"/>
      <c r="L736" s="77"/>
      <c r="M736" s="77"/>
      <c r="N736" s="79"/>
      <c r="O736" s="77"/>
      <c r="P736" s="77"/>
      <c r="Q736" s="79"/>
      <c r="R736" s="77"/>
    </row>
    <row r="737">
      <c r="A737" s="77"/>
      <c r="B737" s="77"/>
      <c r="C737" s="77"/>
      <c r="D737" s="77"/>
      <c r="E737" s="77"/>
      <c r="F737" s="101"/>
      <c r="G737" s="77"/>
      <c r="H737" s="79"/>
      <c r="I737" s="77"/>
      <c r="J737" s="77"/>
      <c r="K737" s="79"/>
      <c r="L737" s="77"/>
      <c r="M737" s="77"/>
      <c r="N737" s="79"/>
      <c r="O737" s="77"/>
      <c r="P737" s="77"/>
      <c r="Q737" s="79"/>
      <c r="R737" s="77"/>
    </row>
    <row r="738">
      <c r="A738" s="77"/>
      <c r="B738" s="77"/>
      <c r="C738" s="77"/>
      <c r="D738" s="77"/>
      <c r="E738" s="77"/>
      <c r="F738" s="101"/>
      <c r="G738" s="77"/>
      <c r="H738" s="79"/>
      <c r="I738" s="77"/>
      <c r="J738" s="77"/>
      <c r="K738" s="79"/>
      <c r="L738" s="77"/>
      <c r="M738" s="77"/>
      <c r="N738" s="79"/>
      <c r="O738" s="77"/>
      <c r="P738" s="77"/>
      <c r="Q738" s="79"/>
      <c r="R738" s="77"/>
    </row>
    <row r="739">
      <c r="A739" s="77"/>
      <c r="B739" s="77"/>
      <c r="C739" s="77"/>
      <c r="D739" s="77"/>
      <c r="E739" s="77"/>
      <c r="F739" s="101"/>
      <c r="G739" s="77"/>
      <c r="H739" s="79"/>
      <c r="I739" s="77"/>
      <c r="J739" s="77"/>
      <c r="K739" s="79"/>
      <c r="L739" s="77"/>
      <c r="M739" s="77"/>
      <c r="N739" s="79"/>
      <c r="O739" s="77"/>
      <c r="P739" s="77"/>
      <c r="Q739" s="79"/>
      <c r="R739" s="77"/>
    </row>
    <row r="740">
      <c r="A740" s="77"/>
      <c r="B740" s="77"/>
      <c r="C740" s="77"/>
      <c r="D740" s="77"/>
      <c r="E740" s="77"/>
      <c r="F740" s="101"/>
      <c r="G740" s="77"/>
      <c r="H740" s="79"/>
      <c r="I740" s="77"/>
      <c r="J740" s="77"/>
      <c r="K740" s="79"/>
      <c r="L740" s="77"/>
      <c r="M740" s="77"/>
      <c r="N740" s="79"/>
      <c r="O740" s="77"/>
      <c r="P740" s="77"/>
      <c r="Q740" s="79"/>
      <c r="R740" s="77"/>
    </row>
    <row r="741">
      <c r="A741" s="77"/>
      <c r="B741" s="77"/>
      <c r="C741" s="77"/>
      <c r="D741" s="77"/>
      <c r="E741" s="77"/>
      <c r="F741" s="101"/>
      <c r="G741" s="77"/>
      <c r="H741" s="79"/>
      <c r="I741" s="77"/>
      <c r="J741" s="77"/>
      <c r="K741" s="79"/>
      <c r="L741" s="77"/>
      <c r="M741" s="77"/>
      <c r="N741" s="79"/>
      <c r="O741" s="77"/>
      <c r="P741" s="77"/>
      <c r="Q741" s="79"/>
      <c r="R741" s="77"/>
    </row>
    <row r="742">
      <c r="A742" s="77"/>
      <c r="B742" s="77"/>
      <c r="C742" s="77"/>
      <c r="D742" s="77"/>
      <c r="E742" s="77"/>
      <c r="F742" s="101"/>
      <c r="G742" s="77"/>
      <c r="H742" s="79"/>
      <c r="I742" s="77"/>
      <c r="J742" s="77"/>
      <c r="K742" s="79"/>
      <c r="L742" s="77"/>
      <c r="M742" s="77"/>
      <c r="N742" s="79"/>
      <c r="O742" s="77"/>
      <c r="P742" s="77"/>
      <c r="Q742" s="79"/>
      <c r="R742" s="77"/>
    </row>
    <row r="743">
      <c r="A743" s="77"/>
      <c r="B743" s="77"/>
      <c r="C743" s="77"/>
      <c r="D743" s="77"/>
      <c r="E743" s="77"/>
      <c r="F743" s="101"/>
      <c r="G743" s="77"/>
      <c r="H743" s="79"/>
      <c r="I743" s="77"/>
      <c r="J743" s="77"/>
      <c r="K743" s="79"/>
      <c r="L743" s="77"/>
      <c r="M743" s="77"/>
      <c r="N743" s="79"/>
      <c r="O743" s="77"/>
      <c r="P743" s="77"/>
      <c r="Q743" s="79"/>
      <c r="R743" s="77"/>
    </row>
    <row r="744">
      <c r="A744" s="77"/>
      <c r="B744" s="77"/>
      <c r="C744" s="77"/>
      <c r="D744" s="77"/>
      <c r="E744" s="77"/>
      <c r="F744" s="101"/>
      <c r="G744" s="77"/>
      <c r="H744" s="79"/>
      <c r="I744" s="77"/>
      <c r="J744" s="77"/>
      <c r="K744" s="79"/>
      <c r="L744" s="77"/>
      <c r="M744" s="77"/>
      <c r="N744" s="79"/>
      <c r="O744" s="77"/>
      <c r="P744" s="77"/>
      <c r="Q744" s="79"/>
      <c r="R744" s="77"/>
    </row>
    <row r="745">
      <c r="A745" s="77"/>
      <c r="B745" s="77"/>
      <c r="C745" s="77"/>
      <c r="D745" s="77"/>
      <c r="E745" s="77"/>
      <c r="F745" s="101"/>
      <c r="G745" s="77"/>
      <c r="H745" s="79"/>
      <c r="I745" s="77"/>
      <c r="J745" s="77"/>
      <c r="K745" s="79"/>
      <c r="L745" s="77"/>
      <c r="M745" s="77"/>
      <c r="N745" s="79"/>
      <c r="O745" s="77"/>
      <c r="P745" s="77"/>
      <c r="Q745" s="79"/>
      <c r="R745" s="77"/>
    </row>
    <row r="746">
      <c r="A746" s="77"/>
      <c r="B746" s="77"/>
      <c r="C746" s="77"/>
      <c r="D746" s="77"/>
      <c r="E746" s="77"/>
      <c r="F746" s="101"/>
      <c r="G746" s="77"/>
      <c r="H746" s="79"/>
      <c r="I746" s="77"/>
      <c r="J746" s="77"/>
      <c r="K746" s="79"/>
      <c r="L746" s="77"/>
      <c r="M746" s="77"/>
      <c r="N746" s="79"/>
      <c r="O746" s="77"/>
      <c r="P746" s="77"/>
      <c r="Q746" s="79"/>
      <c r="R746" s="77"/>
    </row>
    <row r="747">
      <c r="A747" s="77"/>
      <c r="B747" s="77"/>
      <c r="C747" s="77"/>
      <c r="D747" s="77"/>
      <c r="E747" s="77"/>
      <c r="F747" s="101"/>
      <c r="G747" s="77"/>
      <c r="H747" s="79"/>
      <c r="I747" s="77"/>
      <c r="J747" s="77"/>
      <c r="K747" s="79"/>
      <c r="L747" s="77"/>
      <c r="M747" s="77"/>
      <c r="N747" s="79"/>
      <c r="O747" s="77"/>
      <c r="P747" s="77"/>
      <c r="Q747" s="79"/>
      <c r="R747" s="77"/>
    </row>
    <row r="748">
      <c r="A748" s="77"/>
      <c r="B748" s="77"/>
      <c r="C748" s="77"/>
      <c r="D748" s="77"/>
      <c r="E748" s="77"/>
      <c r="F748" s="101"/>
      <c r="G748" s="77"/>
      <c r="H748" s="79"/>
      <c r="I748" s="77"/>
      <c r="J748" s="77"/>
      <c r="K748" s="79"/>
      <c r="L748" s="77"/>
      <c r="M748" s="77"/>
      <c r="N748" s="79"/>
      <c r="O748" s="77"/>
      <c r="P748" s="77"/>
      <c r="Q748" s="79"/>
      <c r="R748" s="77"/>
    </row>
    <row r="749">
      <c r="A749" s="77"/>
      <c r="B749" s="77"/>
      <c r="C749" s="77"/>
      <c r="D749" s="77"/>
      <c r="E749" s="77"/>
      <c r="F749" s="101"/>
      <c r="G749" s="77"/>
      <c r="H749" s="79"/>
      <c r="I749" s="77"/>
      <c r="J749" s="77"/>
      <c r="K749" s="79"/>
      <c r="L749" s="77"/>
      <c r="M749" s="77"/>
      <c r="N749" s="79"/>
      <c r="O749" s="77"/>
      <c r="P749" s="77"/>
      <c r="Q749" s="79"/>
      <c r="R749" s="77"/>
    </row>
    <row r="750">
      <c r="A750" s="77"/>
      <c r="B750" s="77"/>
      <c r="C750" s="77"/>
      <c r="D750" s="77"/>
      <c r="E750" s="77"/>
      <c r="F750" s="101"/>
      <c r="G750" s="77"/>
      <c r="H750" s="79"/>
      <c r="I750" s="77"/>
      <c r="J750" s="77"/>
      <c r="K750" s="79"/>
      <c r="L750" s="77"/>
      <c r="M750" s="77"/>
      <c r="N750" s="79"/>
      <c r="O750" s="77"/>
      <c r="P750" s="77"/>
      <c r="Q750" s="79"/>
      <c r="R750" s="77"/>
    </row>
    <row r="751">
      <c r="A751" s="77"/>
      <c r="B751" s="77"/>
      <c r="C751" s="77"/>
      <c r="D751" s="77"/>
      <c r="E751" s="77"/>
      <c r="F751" s="101"/>
      <c r="G751" s="77"/>
      <c r="H751" s="79"/>
      <c r="I751" s="77"/>
      <c r="J751" s="77"/>
      <c r="K751" s="79"/>
      <c r="L751" s="77"/>
      <c r="M751" s="77"/>
      <c r="N751" s="79"/>
      <c r="O751" s="77"/>
      <c r="P751" s="77"/>
      <c r="Q751" s="79"/>
      <c r="R751" s="77"/>
    </row>
    <row r="752">
      <c r="A752" s="77"/>
      <c r="B752" s="77"/>
      <c r="C752" s="77"/>
      <c r="D752" s="77"/>
      <c r="E752" s="77"/>
      <c r="F752" s="101"/>
      <c r="G752" s="77"/>
      <c r="H752" s="79"/>
      <c r="I752" s="77"/>
      <c r="J752" s="77"/>
      <c r="K752" s="79"/>
      <c r="L752" s="77"/>
      <c r="M752" s="77"/>
      <c r="N752" s="79"/>
      <c r="O752" s="77"/>
      <c r="P752" s="77"/>
      <c r="Q752" s="79"/>
      <c r="R752" s="77"/>
    </row>
    <row r="753">
      <c r="A753" s="77"/>
      <c r="B753" s="77"/>
      <c r="C753" s="77"/>
      <c r="D753" s="77"/>
      <c r="E753" s="77"/>
      <c r="F753" s="101"/>
      <c r="G753" s="77"/>
      <c r="H753" s="79"/>
      <c r="I753" s="77"/>
      <c r="J753" s="77"/>
      <c r="K753" s="79"/>
      <c r="L753" s="77"/>
      <c r="M753" s="77"/>
      <c r="N753" s="79"/>
      <c r="O753" s="77"/>
      <c r="P753" s="77"/>
      <c r="Q753" s="79"/>
      <c r="R753" s="77"/>
    </row>
    <row r="754">
      <c r="A754" s="77"/>
      <c r="B754" s="77"/>
      <c r="C754" s="77"/>
      <c r="D754" s="77"/>
      <c r="E754" s="77"/>
      <c r="F754" s="101"/>
      <c r="G754" s="77"/>
      <c r="H754" s="79"/>
      <c r="I754" s="77"/>
      <c r="J754" s="77"/>
      <c r="K754" s="79"/>
      <c r="L754" s="77"/>
      <c r="M754" s="77"/>
      <c r="N754" s="79"/>
      <c r="O754" s="77"/>
      <c r="P754" s="77"/>
      <c r="Q754" s="79"/>
      <c r="R754" s="77"/>
    </row>
    <row r="755">
      <c r="A755" s="77"/>
      <c r="B755" s="77"/>
      <c r="C755" s="77"/>
      <c r="D755" s="77"/>
      <c r="E755" s="77"/>
      <c r="F755" s="101"/>
      <c r="G755" s="77"/>
      <c r="H755" s="79"/>
      <c r="I755" s="77"/>
      <c r="J755" s="77"/>
      <c r="K755" s="79"/>
      <c r="L755" s="77"/>
      <c r="M755" s="77"/>
      <c r="N755" s="79"/>
      <c r="O755" s="77"/>
      <c r="P755" s="77"/>
      <c r="Q755" s="79"/>
      <c r="R755" s="77"/>
    </row>
    <row r="756">
      <c r="A756" s="77"/>
      <c r="B756" s="77"/>
      <c r="C756" s="77"/>
      <c r="D756" s="77"/>
      <c r="E756" s="77"/>
      <c r="F756" s="101"/>
      <c r="G756" s="77"/>
      <c r="H756" s="79"/>
      <c r="I756" s="77"/>
      <c r="J756" s="77"/>
      <c r="K756" s="79"/>
      <c r="L756" s="77"/>
      <c r="M756" s="77"/>
      <c r="N756" s="79"/>
      <c r="O756" s="77"/>
      <c r="P756" s="77"/>
      <c r="Q756" s="79"/>
      <c r="R756" s="77"/>
    </row>
    <row r="757">
      <c r="A757" s="77"/>
      <c r="B757" s="77"/>
      <c r="C757" s="77"/>
      <c r="D757" s="77"/>
      <c r="E757" s="77"/>
      <c r="F757" s="101"/>
      <c r="G757" s="77"/>
      <c r="H757" s="79"/>
      <c r="I757" s="77"/>
      <c r="J757" s="77"/>
      <c r="K757" s="79"/>
      <c r="L757" s="77"/>
      <c r="M757" s="77"/>
      <c r="N757" s="79"/>
      <c r="O757" s="77"/>
      <c r="P757" s="77"/>
      <c r="Q757" s="79"/>
      <c r="R757" s="77"/>
    </row>
    <row r="758">
      <c r="A758" s="77"/>
      <c r="B758" s="77"/>
      <c r="C758" s="77"/>
      <c r="D758" s="77"/>
      <c r="E758" s="77"/>
      <c r="F758" s="101"/>
      <c r="G758" s="77"/>
      <c r="H758" s="79"/>
      <c r="I758" s="77"/>
      <c r="J758" s="77"/>
      <c r="K758" s="79"/>
      <c r="L758" s="77"/>
      <c r="M758" s="77"/>
      <c r="N758" s="79"/>
      <c r="O758" s="77"/>
      <c r="P758" s="77"/>
      <c r="Q758" s="79"/>
      <c r="R758" s="77"/>
    </row>
    <row r="759">
      <c r="A759" s="77"/>
      <c r="B759" s="77"/>
      <c r="C759" s="77"/>
      <c r="D759" s="77"/>
      <c r="E759" s="77"/>
      <c r="F759" s="101"/>
      <c r="G759" s="77"/>
      <c r="H759" s="79"/>
      <c r="I759" s="77"/>
      <c r="J759" s="77"/>
      <c r="K759" s="79"/>
      <c r="L759" s="77"/>
      <c r="M759" s="77"/>
      <c r="N759" s="79"/>
      <c r="O759" s="77"/>
      <c r="P759" s="77"/>
      <c r="Q759" s="79"/>
      <c r="R759" s="77"/>
    </row>
    <row r="760">
      <c r="A760" s="77"/>
      <c r="B760" s="77"/>
      <c r="C760" s="77"/>
      <c r="D760" s="77"/>
      <c r="E760" s="77"/>
      <c r="F760" s="101"/>
      <c r="G760" s="77"/>
      <c r="H760" s="79"/>
      <c r="I760" s="77"/>
      <c r="J760" s="77"/>
      <c r="K760" s="79"/>
      <c r="L760" s="77"/>
      <c r="M760" s="77"/>
      <c r="N760" s="79"/>
      <c r="O760" s="77"/>
      <c r="P760" s="77"/>
      <c r="Q760" s="79"/>
      <c r="R760" s="77"/>
    </row>
    <row r="761">
      <c r="A761" s="77"/>
      <c r="B761" s="77"/>
      <c r="C761" s="77"/>
      <c r="D761" s="77"/>
      <c r="E761" s="77"/>
      <c r="F761" s="101"/>
      <c r="G761" s="77"/>
      <c r="H761" s="79"/>
      <c r="I761" s="77"/>
      <c r="J761" s="77"/>
      <c r="K761" s="79"/>
      <c r="L761" s="77"/>
      <c r="M761" s="77"/>
      <c r="N761" s="79"/>
      <c r="O761" s="77"/>
      <c r="P761" s="77"/>
      <c r="Q761" s="79"/>
      <c r="R761" s="77"/>
    </row>
    <row r="762">
      <c r="A762" s="77"/>
      <c r="B762" s="77"/>
      <c r="C762" s="77"/>
      <c r="D762" s="77"/>
      <c r="E762" s="77"/>
      <c r="F762" s="101"/>
      <c r="G762" s="77"/>
      <c r="H762" s="79"/>
      <c r="I762" s="77"/>
      <c r="J762" s="77"/>
      <c r="K762" s="79"/>
      <c r="L762" s="77"/>
      <c r="M762" s="77"/>
      <c r="N762" s="79"/>
      <c r="O762" s="77"/>
      <c r="P762" s="77"/>
      <c r="Q762" s="79"/>
      <c r="R762" s="77"/>
    </row>
    <row r="763">
      <c r="A763" s="77"/>
      <c r="B763" s="77"/>
      <c r="C763" s="77"/>
      <c r="D763" s="77"/>
      <c r="E763" s="77"/>
      <c r="F763" s="101"/>
      <c r="G763" s="77"/>
      <c r="H763" s="79"/>
      <c r="I763" s="77"/>
      <c r="J763" s="77"/>
      <c r="K763" s="79"/>
      <c r="L763" s="77"/>
      <c r="M763" s="77"/>
      <c r="N763" s="79"/>
      <c r="O763" s="77"/>
      <c r="P763" s="77"/>
      <c r="Q763" s="79"/>
      <c r="R763" s="77"/>
    </row>
    <row r="764">
      <c r="A764" s="77"/>
      <c r="B764" s="77"/>
      <c r="C764" s="77"/>
      <c r="D764" s="77"/>
      <c r="E764" s="77"/>
      <c r="F764" s="101"/>
      <c r="G764" s="77"/>
      <c r="H764" s="79"/>
      <c r="I764" s="77"/>
      <c r="J764" s="77"/>
      <c r="K764" s="79"/>
      <c r="L764" s="77"/>
      <c r="M764" s="77"/>
      <c r="N764" s="79"/>
      <c r="O764" s="77"/>
      <c r="P764" s="77"/>
      <c r="Q764" s="79"/>
      <c r="R764" s="77"/>
    </row>
    <row r="765">
      <c r="A765" s="77"/>
      <c r="B765" s="77"/>
      <c r="C765" s="77"/>
      <c r="D765" s="77"/>
      <c r="E765" s="77"/>
      <c r="F765" s="101"/>
      <c r="G765" s="77"/>
      <c r="H765" s="79"/>
      <c r="I765" s="77"/>
      <c r="J765" s="77"/>
      <c r="K765" s="79"/>
      <c r="L765" s="77"/>
      <c r="M765" s="77"/>
      <c r="N765" s="79"/>
      <c r="O765" s="77"/>
      <c r="P765" s="77"/>
      <c r="Q765" s="79"/>
      <c r="R765" s="77"/>
    </row>
    <row r="766">
      <c r="A766" s="77"/>
      <c r="B766" s="77"/>
      <c r="C766" s="77"/>
      <c r="D766" s="77"/>
      <c r="E766" s="77"/>
      <c r="F766" s="101"/>
      <c r="G766" s="77"/>
      <c r="H766" s="79"/>
      <c r="I766" s="77"/>
      <c r="J766" s="77"/>
      <c r="K766" s="79"/>
      <c r="L766" s="77"/>
      <c r="M766" s="77"/>
      <c r="N766" s="79"/>
      <c r="O766" s="77"/>
      <c r="P766" s="77"/>
      <c r="Q766" s="79"/>
      <c r="R766" s="77"/>
    </row>
    <row r="767">
      <c r="A767" s="77"/>
      <c r="B767" s="77"/>
      <c r="C767" s="77"/>
      <c r="D767" s="77"/>
      <c r="E767" s="77"/>
      <c r="F767" s="101"/>
      <c r="G767" s="77"/>
      <c r="H767" s="79"/>
      <c r="I767" s="77"/>
      <c r="J767" s="77"/>
      <c r="K767" s="79"/>
      <c r="L767" s="77"/>
      <c r="M767" s="77"/>
      <c r="N767" s="79"/>
      <c r="O767" s="77"/>
      <c r="P767" s="77"/>
      <c r="Q767" s="79"/>
      <c r="R767" s="77"/>
    </row>
    <row r="768">
      <c r="A768" s="77"/>
      <c r="B768" s="77"/>
      <c r="C768" s="77"/>
      <c r="D768" s="77"/>
      <c r="E768" s="77"/>
      <c r="F768" s="101"/>
      <c r="G768" s="77"/>
      <c r="H768" s="79"/>
      <c r="I768" s="77"/>
      <c r="J768" s="77"/>
      <c r="K768" s="79"/>
      <c r="L768" s="77"/>
      <c r="M768" s="77"/>
      <c r="N768" s="79"/>
      <c r="O768" s="77"/>
      <c r="P768" s="77"/>
      <c r="Q768" s="79"/>
      <c r="R768" s="77"/>
    </row>
    <row r="769">
      <c r="A769" s="77"/>
      <c r="B769" s="77"/>
      <c r="C769" s="77"/>
      <c r="D769" s="77"/>
      <c r="E769" s="77"/>
      <c r="F769" s="101"/>
      <c r="G769" s="77"/>
      <c r="H769" s="79"/>
      <c r="I769" s="77"/>
      <c r="J769" s="77"/>
      <c r="K769" s="79"/>
      <c r="L769" s="77"/>
      <c r="M769" s="77"/>
      <c r="N769" s="79"/>
      <c r="O769" s="77"/>
      <c r="P769" s="77"/>
      <c r="Q769" s="79"/>
      <c r="R769" s="77"/>
    </row>
    <row r="770">
      <c r="A770" s="77"/>
      <c r="B770" s="77"/>
      <c r="C770" s="77"/>
      <c r="D770" s="77"/>
      <c r="E770" s="77"/>
      <c r="F770" s="101"/>
      <c r="G770" s="77"/>
      <c r="H770" s="79"/>
      <c r="I770" s="77"/>
      <c r="J770" s="77"/>
      <c r="K770" s="79"/>
      <c r="L770" s="77"/>
      <c r="M770" s="77"/>
      <c r="N770" s="79"/>
      <c r="O770" s="77"/>
      <c r="P770" s="77"/>
      <c r="Q770" s="79"/>
      <c r="R770" s="77"/>
    </row>
    <row r="771">
      <c r="A771" s="77"/>
      <c r="B771" s="77"/>
      <c r="C771" s="77"/>
      <c r="D771" s="77"/>
      <c r="E771" s="77"/>
      <c r="F771" s="101"/>
      <c r="G771" s="77"/>
      <c r="H771" s="79"/>
      <c r="I771" s="77"/>
      <c r="J771" s="77"/>
      <c r="K771" s="79"/>
      <c r="L771" s="77"/>
      <c r="M771" s="77"/>
      <c r="N771" s="79"/>
      <c r="O771" s="77"/>
      <c r="P771" s="77"/>
      <c r="Q771" s="79"/>
      <c r="R771" s="77"/>
    </row>
    <row r="772">
      <c r="A772" s="77"/>
      <c r="B772" s="77"/>
      <c r="C772" s="77"/>
      <c r="D772" s="77"/>
      <c r="E772" s="77"/>
      <c r="F772" s="101"/>
      <c r="G772" s="77"/>
      <c r="H772" s="79"/>
      <c r="I772" s="77"/>
      <c r="J772" s="77"/>
      <c r="K772" s="79"/>
      <c r="L772" s="77"/>
      <c r="M772" s="77"/>
      <c r="N772" s="79"/>
      <c r="O772" s="77"/>
      <c r="P772" s="77"/>
      <c r="Q772" s="79"/>
      <c r="R772" s="77"/>
    </row>
    <row r="773">
      <c r="A773" s="77"/>
      <c r="B773" s="77"/>
      <c r="C773" s="77"/>
      <c r="D773" s="77"/>
      <c r="E773" s="77"/>
      <c r="F773" s="101"/>
      <c r="G773" s="77"/>
      <c r="H773" s="79"/>
      <c r="I773" s="77"/>
      <c r="J773" s="77"/>
      <c r="K773" s="79"/>
      <c r="L773" s="77"/>
      <c r="M773" s="77"/>
      <c r="N773" s="79"/>
      <c r="O773" s="77"/>
      <c r="P773" s="77"/>
      <c r="Q773" s="79"/>
      <c r="R773" s="77"/>
    </row>
    <row r="774">
      <c r="A774" s="77"/>
      <c r="B774" s="77"/>
      <c r="C774" s="77"/>
      <c r="D774" s="77"/>
      <c r="E774" s="77"/>
      <c r="F774" s="101"/>
      <c r="G774" s="77"/>
      <c r="H774" s="79"/>
      <c r="I774" s="77"/>
      <c r="J774" s="77"/>
      <c r="K774" s="79"/>
      <c r="L774" s="77"/>
      <c r="M774" s="77"/>
      <c r="N774" s="79"/>
      <c r="O774" s="77"/>
      <c r="P774" s="77"/>
      <c r="Q774" s="79"/>
      <c r="R774" s="77"/>
    </row>
    <row r="775">
      <c r="A775" s="77"/>
      <c r="B775" s="77"/>
      <c r="C775" s="77"/>
      <c r="D775" s="77"/>
      <c r="E775" s="77"/>
      <c r="F775" s="101"/>
      <c r="G775" s="77"/>
      <c r="H775" s="79"/>
      <c r="I775" s="77"/>
      <c r="J775" s="77"/>
      <c r="K775" s="79"/>
      <c r="L775" s="77"/>
      <c r="M775" s="77"/>
      <c r="N775" s="79"/>
      <c r="O775" s="77"/>
      <c r="P775" s="77"/>
      <c r="Q775" s="79"/>
      <c r="R775" s="77"/>
    </row>
    <row r="776">
      <c r="A776" s="77"/>
      <c r="B776" s="77"/>
      <c r="C776" s="77"/>
      <c r="D776" s="77"/>
      <c r="E776" s="77"/>
      <c r="F776" s="101"/>
      <c r="G776" s="77"/>
      <c r="H776" s="79"/>
      <c r="I776" s="77"/>
      <c r="J776" s="77"/>
      <c r="K776" s="79"/>
      <c r="L776" s="77"/>
      <c r="M776" s="77"/>
      <c r="N776" s="79"/>
      <c r="O776" s="77"/>
      <c r="P776" s="77"/>
      <c r="Q776" s="79"/>
      <c r="R776" s="77"/>
    </row>
    <row r="777">
      <c r="A777" s="77"/>
      <c r="B777" s="77"/>
      <c r="C777" s="77"/>
      <c r="D777" s="77"/>
      <c r="E777" s="77"/>
      <c r="F777" s="101"/>
      <c r="G777" s="77"/>
      <c r="H777" s="79"/>
      <c r="I777" s="77"/>
      <c r="J777" s="77"/>
      <c r="K777" s="79"/>
      <c r="L777" s="77"/>
      <c r="M777" s="77"/>
      <c r="N777" s="79"/>
      <c r="O777" s="77"/>
      <c r="P777" s="77"/>
      <c r="Q777" s="79"/>
      <c r="R777" s="77"/>
    </row>
    <row r="778">
      <c r="A778" s="77"/>
      <c r="B778" s="77"/>
      <c r="C778" s="77"/>
      <c r="D778" s="77"/>
      <c r="E778" s="77"/>
      <c r="F778" s="101"/>
      <c r="G778" s="77"/>
      <c r="H778" s="79"/>
      <c r="I778" s="77"/>
      <c r="J778" s="77"/>
      <c r="K778" s="79"/>
      <c r="L778" s="77"/>
      <c r="M778" s="77"/>
      <c r="N778" s="79"/>
      <c r="O778" s="77"/>
      <c r="P778" s="77"/>
      <c r="Q778" s="79"/>
      <c r="R778" s="77"/>
    </row>
    <row r="779">
      <c r="A779" s="77"/>
      <c r="B779" s="77"/>
      <c r="C779" s="77"/>
      <c r="D779" s="77"/>
      <c r="E779" s="77"/>
      <c r="F779" s="101"/>
      <c r="G779" s="77"/>
      <c r="H779" s="79"/>
      <c r="I779" s="77"/>
      <c r="J779" s="77"/>
      <c r="K779" s="79"/>
      <c r="L779" s="77"/>
      <c r="M779" s="77"/>
      <c r="N779" s="79"/>
      <c r="O779" s="77"/>
      <c r="P779" s="77"/>
      <c r="Q779" s="79"/>
      <c r="R779" s="77"/>
    </row>
    <row r="780">
      <c r="A780" s="77"/>
      <c r="B780" s="77"/>
      <c r="C780" s="77"/>
      <c r="D780" s="77"/>
      <c r="E780" s="77"/>
      <c r="F780" s="101"/>
      <c r="G780" s="77"/>
      <c r="H780" s="79"/>
      <c r="I780" s="77"/>
      <c r="J780" s="77"/>
      <c r="K780" s="79"/>
      <c r="L780" s="77"/>
      <c r="M780" s="77"/>
      <c r="N780" s="79"/>
      <c r="O780" s="77"/>
      <c r="P780" s="77"/>
      <c r="Q780" s="79"/>
      <c r="R780" s="77"/>
    </row>
    <row r="781">
      <c r="A781" s="77"/>
      <c r="B781" s="77"/>
      <c r="C781" s="77"/>
      <c r="D781" s="77"/>
      <c r="E781" s="77"/>
      <c r="F781" s="101"/>
      <c r="G781" s="77"/>
      <c r="H781" s="79"/>
      <c r="I781" s="77"/>
      <c r="J781" s="77"/>
      <c r="K781" s="79"/>
      <c r="L781" s="77"/>
      <c r="M781" s="77"/>
      <c r="N781" s="79"/>
      <c r="O781" s="77"/>
      <c r="P781" s="77"/>
      <c r="Q781" s="79"/>
      <c r="R781" s="77"/>
    </row>
    <row r="782">
      <c r="A782" s="77"/>
      <c r="B782" s="77"/>
      <c r="C782" s="77"/>
      <c r="D782" s="77"/>
      <c r="E782" s="77"/>
      <c r="F782" s="101"/>
      <c r="G782" s="77"/>
      <c r="H782" s="79"/>
      <c r="I782" s="77"/>
      <c r="J782" s="77"/>
      <c r="K782" s="79"/>
      <c r="L782" s="77"/>
      <c r="M782" s="77"/>
      <c r="N782" s="79"/>
      <c r="O782" s="77"/>
      <c r="P782" s="77"/>
      <c r="Q782" s="79"/>
      <c r="R782" s="77"/>
    </row>
    <row r="783">
      <c r="A783" s="77"/>
      <c r="B783" s="77"/>
      <c r="C783" s="77"/>
      <c r="D783" s="77"/>
      <c r="E783" s="77"/>
      <c r="F783" s="101"/>
      <c r="G783" s="77"/>
      <c r="H783" s="79"/>
      <c r="I783" s="77"/>
      <c r="J783" s="77"/>
      <c r="K783" s="79"/>
      <c r="L783" s="77"/>
      <c r="M783" s="77"/>
      <c r="N783" s="79"/>
      <c r="O783" s="77"/>
      <c r="P783" s="77"/>
      <c r="Q783" s="79"/>
      <c r="R783" s="77"/>
    </row>
    <row r="784">
      <c r="A784" s="77"/>
      <c r="B784" s="77"/>
      <c r="C784" s="77"/>
      <c r="D784" s="77"/>
      <c r="E784" s="77"/>
      <c r="F784" s="101"/>
      <c r="G784" s="77"/>
      <c r="H784" s="79"/>
      <c r="I784" s="77"/>
      <c r="J784" s="77"/>
      <c r="K784" s="79"/>
      <c r="L784" s="77"/>
      <c r="M784" s="77"/>
      <c r="N784" s="79"/>
      <c r="O784" s="77"/>
      <c r="P784" s="77"/>
      <c r="Q784" s="79"/>
      <c r="R784" s="77"/>
    </row>
    <row r="785">
      <c r="A785" s="77"/>
      <c r="B785" s="77"/>
      <c r="C785" s="77"/>
      <c r="D785" s="77"/>
      <c r="E785" s="77"/>
      <c r="F785" s="101"/>
      <c r="G785" s="77"/>
      <c r="H785" s="79"/>
      <c r="I785" s="77"/>
      <c r="J785" s="77"/>
      <c r="K785" s="79"/>
      <c r="L785" s="77"/>
      <c r="M785" s="77"/>
      <c r="N785" s="79"/>
      <c r="O785" s="77"/>
      <c r="P785" s="77"/>
      <c r="Q785" s="79"/>
      <c r="R785" s="77"/>
    </row>
    <row r="786">
      <c r="A786" s="77"/>
      <c r="B786" s="77"/>
      <c r="C786" s="77"/>
      <c r="D786" s="77"/>
      <c r="E786" s="77"/>
      <c r="F786" s="101"/>
      <c r="G786" s="77"/>
      <c r="H786" s="79"/>
      <c r="I786" s="77"/>
      <c r="J786" s="77"/>
      <c r="K786" s="79"/>
      <c r="L786" s="77"/>
      <c r="M786" s="77"/>
      <c r="N786" s="79"/>
      <c r="O786" s="77"/>
      <c r="P786" s="77"/>
      <c r="Q786" s="79"/>
      <c r="R786" s="77"/>
    </row>
    <row r="787">
      <c r="A787" s="77"/>
      <c r="B787" s="77"/>
      <c r="C787" s="77"/>
      <c r="D787" s="77"/>
      <c r="E787" s="77"/>
      <c r="F787" s="101"/>
      <c r="G787" s="77"/>
      <c r="H787" s="79"/>
      <c r="I787" s="77"/>
      <c r="J787" s="77"/>
      <c r="K787" s="79"/>
      <c r="L787" s="77"/>
      <c r="M787" s="77"/>
      <c r="N787" s="79"/>
      <c r="O787" s="77"/>
      <c r="P787" s="77"/>
      <c r="Q787" s="79"/>
      <c r="R787" s="77"/>
    </row>
    <row r="788">
      <c r="A788" s="77"/>
      <c r="B788" s="77"/>
      <c r="C788" s="77"/>
      <c r="D788" s="77"/>
      <c r="E788" s="77"/>
      <c r="F788" s="101"/>
      <c r="G788" s="77"/>
      <c r="H788" s="79"/>
      <c r="I788" s="77"/>
      <c r="J788" s="77"/>
      <c r="K788" s="79"/>
      <c r="L788" s="77"/>
      <c r="M788" s="77"/>
      <c r="N788" s="79"/>
      <c r="O788" s="77"/>
      <c r="P788" s="77"/>
      <c r="Q788" s="79"/>
      <c r="R788" s="77"/>
    </row>
    <row r="789">
      <c r="A789" s="77"/>
      <c r="B789" s="77"/>
      <c r="C789" s="77"/>
      <c r="D789" s="77"/>
      <c r="E789" s="77"/>
      <c r="F789" s="101"/>
      <c r="G789" s="77"/>
      <c r="H789" s="79"/>
      <c r="I789" s="77"/>
      <c r="J789" s="77"/>
      <c r="K789" s="79"/>
      <c r="L789" s="77"/>
      <c r="M789" s="77"/>
      <c r="N789" s="79"/>
      <c r="O789" s="77"/>
      <c r="P789" s="77"/>
      <c r="Q789" s="79"/>
      <c r="R789" s="77"/>
    </row>
    <row r="790">
      <c r="A790" s="77"/>
      <c r="B790" s="77"/>
      <c r="C790" s="77"/>
      <c r="D790" s="77"/>
      <c r="E790" s="77"/>
      <c r="F790" s="101"/>
      <c r="G790" s="77"/>
      <c r="H790" s="79"/>
      <c r="I790" s="77"/>
      <c r="J790" s="77"/>
      <c r="K790" s="79"/>
      <c r="L790" s="77"/>
      <c r="M790" s="77"/>
      <c r="N790" s="79"/>
      <c r="O790" s="77"/>
      <c r="P790" s="77"/>
      <c r="Q790" s="79"/>
      <c r="R790" s="77"/>
    </row>
    <row r="791">
      <c r="A791" s="77"/>
      <c r="B791" s="77"/>
      <c r="C791" s="77"/>
      <c r="D791" s="77"/>
      <c r="E791" s="77"/>
      <c r="F791" s="101"/>
      <c r="G791" s="77"/>
      <c r="H791" s="79"/>
      <c r="I791" s="77"/>
      <c r="J791" s="77"/>
      <c r="K791" s="79"/>
      <c r="L791" s="77"/>
      <c r="M791" s="77"/>
      <c r="N791" s="79"/>
      <c r="O791" s="77"/>
      <c r="P791" s="77"/>
      <c r="Q791" s="79"/>
      <c r="R791" s="77"/>
    </row>
    <row r="792">
      <c r="A792" s="77"/>
      <c r="B792" s="77"/>
      <c r="C792" s="77"/>
      <c r="D792" s="77"/>
      <c r="E792" s="77"/>
      <c r="F792" s="101"/>
      <c r="G792" s="77"/>
      <c r="H792" s="79"/>
      <c r="I792" s="77"/>
      <c r="J792" s="77"/>
      <c r="K792" s="79"/>
      <c r="L792" s="77"/>
      <c r="M792" s="77"/>
      <c r="N792" s="79"/>
      <c r="O792" s="77"/>
      <c r="P792" s="77"/>
      <c r="Q792" s="79"/>
      <c r="R792" s="77"/>
    </row>
    <row r="793">
      <c r="A793" s="77"/>
      <c r="B793" s="77"/>
      <c r="C793" s="77"/>
      <c r="D793" s="77"/>
      <c r="E793" s="77"/>
      <c r="F793" s="101"/>
      <c r="G793" s="77"/>
      <c r="H793" s="79"/>
      <c r="I793" s="77"/>
      <c r="J793" s="77"/>
      <c r="K793" s="79"/>
      <c r="L793" s="77"/>
      <c r="M793" s="77"/>
      <c r="N793" s="79"/>
      <c r="O793" s="77"/>
      <c r="P793" s="77"/>
      <c r="Q793" s="79"/>
      <c r="R793" s="77"/>
    </row>
    <row r="794">
      <c r="A794" s="77"/>
      <c r="B794" s="77"/>
      <c r="C794" s="77"/>
      <c r="D794" s="77"/>
      <c r="E794" s="77"/>
      <c r="F794" s="101"/>
      <c r="G794" s="77"/>
      <c r="H794" s="79"/>
      <c r="I794" s="77"/>
      <c r="J794" s="77"/>
      <c r="K794" s="79"/>
      <c r="L794" s="77"/>
      <c r="M794" s="77"/>
      <c r="N794" s="79"/>
      <c r="O794" s="77"/>
      <c r="P794" s="77"/>
      <c r="Q794" s="79"/>
      <c r="R794" s="77"/>
    </row>
    <row r="795">
      <c r="A795" s="77"/>
      <c r="B795" s="77"/>
      <c r="C795" s="77"/>
      <c r="D795" s="77"/>
      <c r="E795" s="77"/>
      <c r="F795" s="101"/>
      <c r="G795" s="77"/>
      <c r="H795" s="79"/>
      <c r="I795" s="77"/>
      <c r="J795" s="77"/>
      <c r="K795" s="79"/>
      <c r="L795" s="77"/>
      <c r="M795" s="77"/>
      <c r="N795" s="79"/>
      <c r="O795" s="77"/>
      <c r="P795" s="77"/>
      <c r="Q795" s="79"/>
      <c r="R795" s="77"/>
    </row>
    <row r="796">
      <c r="A796" s="77"/>
      <c r="B796" s="77"/>
      <c r="C796" s="77"/>
      <c r="D796" s="77"/>
      <c r="E796" s="77"/>
      <c r="F796" s="101"/>
      <c r="G796" s="77"/>
      <c r="H796" s="79"/>
      <c r="I796" s="77"/>
      <c r="J796" s="77"/>
      <c r="K796" s="79"/>
      <c r="L796" s="77"/>
      <c r="M796" s="77"/>
      <c r="N796" s="79"/>
      <c r="O796" s="77"/>
      <c r="P796" s="77"/>
      <c r="Q796" s="79"/>
      <c r="R796" s="77"/>
    </row>
    <row r="797">
      <c r="A797" s="77"/>
      <c r="B797" s="77"/>
      <c r="C797" s="77"/>
      <c r="D797" s="77"/>
      <c r="E797" s="77"/>
      <c r="F797" s="101"/>
      <c r="G797" s="77"/>
      <c r="H797" s="79"/>
      <c r="I797" s="77"/>
      <c r="J797" s="77"/>
      <c r="K797" s="79"/>
      <c r="L797" s="77"/>
      <c r="M797" s="77"/>
      <c r="N797" s="79"/>
      <c r="O797" s="77"/>
      <c r="P797" s="77"/>
      <c r="Q797" s="79"/>
      <c r="R797" s="77"/>
    </row>
    <row r="798">
      <c r="A798" s="77"/>
      <c r="B798" s="77"/>
      <c r="C798" s="77"/>
      <c r="D798" s="77"/>
      <c r="E798" s="77"/>
      <c r="F798" s="101"/>
      <c r="G798" s="77"/>
      <c r="H798" s="79"/>
      <c r="I798" s="77"/>
      <c r="J798" s="77"/>
      <c r="K798" s="79"/>
      <c r="L798" s="77"/>
      <c r="M798" s="77"/>
      <c r="N798" s="79"/>
      <c r="O798" s="77"/>
      <c r="P798" s="77"/>
      <c r="Q798" s="79"/>
      <c r="R798" s="77"/>
    </row>
    <row r="799">
      <c r="A799" s="77"/>
      <c r="B799" s="77"/>
      <c r="C799" s="77"/>
      <c r="D799" s="77"/>
      <c r="E799" s="77"/>
      <c r="F799" s="101"/>
      <c r="G799" s="77"/>
      <c r="H799" s="79"/>
      <c r="I799" s="77"/>
      <c r="J799" s="77"/>
      <c r="K799" s="79"/>
      <c r="L799" s="77"/>
      <c r="M799" s="77"/>
      <c r="N799" s="79"/>
      <c r="O799" s="77"/>
      <c r="P799" s="77"/>
      <c r="Q799" s="79"/>
      <c r="R799" s="77"/>
    </row>
    <row r="800">
      <c r="A800" s="77"/>
      <c r="B800" s="77"/>
      <c r="C800" s="77"/>
      <c r="D800" s="77"/>
      <c r="E800" s="77"/>
      <c r="F800" s="101"/>
      <c r="G800" s="77"/>
      <c r="H800" s="79"/>
      <c r="I800" s="77"/>
      <c r="J800" s="77"/>
      <c r="K800" s="79"/>
      <c r="L800" s="77"/>
      <c r="M800" s="77"/>
      <c r="N800" s="79"/>
      <c r="O800" s="77"/>
      <c r="P800" s="77"/>
      <c r="Q800" s="79"/>
      <c r="R800" s="77"/>
    </row>
    <row r="801">
      <c r="A801" s="77"/>
      <c r="B801" s="77"/>
      <c r="C801" s="77"/>
      <c r="D801" s="77"/>
      <c r="E801" s="77"/>
      <c r="F801" s="101"/>
      <c r="G801" s="77"/>
      <c r="H801" s="79"/>
      <c r="I801" s="77"/>
      <c r="J801" s="77"/>
      <c r="K801" s="79"/>
      <c r="L801" s="77"/>
      <c r="M801" s="77"/>
      <c r="N801" s="79"/>
      <c r="O801" s="77"/>
      <c r="P801" s="77"/>
      <c r="Q801" s="79"/>
      <c r="R801" s="77"/>
    </row>
    <row r="802">
      <c r="A802" s="77"/>
      <c r="B802" s="77"/>
      <c r="C802" s="77"/>
      <c r="D802" s="77"/>
      <c r="E802" s="77"/>
      <c r="F802" s="101"/>
      <c r="G802" s="77"/>
      <c r="H802" s="79"/>
      <c r="I802" s="77"/>
      <c r="J802" s="77"/>
      <c r="K802" s="79"/>
      <c r="L802" s="77"/>
      <c r="M802" s="77"/>
      <c r="N802" s="79"/>
      <c r="O802" s="77"/>
      <c r="P802" s="77"/>
      <c r="Q802" s="79"/>
      <c r="R802" s="77"/>
    </row>
    <row r="803">
      <c r="A803" s="77"/>
      <c r="B803" s="77"/>
      <c r="C803" s="77"/>
      <c r="D803" s="77"/>
      <c r="E803" s="77"/>
      <c r="F803" s="101"/>
      <c r="G803" s="77"/>
      <c r="H803" s="79"/>
      <c r="I803" s="77"/>
      <c r="J803" s="77"/>
      <c r="K803" s="79"/>
      <c r="L803" s="77"/>
      <c r="M803" s="77"/>
      <c r="N803" s="79"/>
      <c r="O803" s="77"/>
      <c r="P803" s="77"/>
      <c r="Q803" s="79"/>
      <c r="R803" s="77"/>
    </row>
    <row r="804">
      <c r="A804" s="77"/>
      <c r="B804" s="77"/>
      <c r="C804" s="77"/>
      <c r="D804" s="77"/>
      <c r="E804" s="77"/>
      <c r="F804" s="101"/>
      <c r="G804" s="77"/>
      <c r="H804" s="79"/>
      <c r="I804" s="77"/>
      <c r="J804" s="77"/>
      <c r="K804" s="79"/>
      <c r="L804" s="77"/>
      <c r="M804" s="77"/>
      <c r="N804" s="79"/>
      <c r="O804" s="77"/>
      <c r="P804" s="77"/>
      <c r="Q804" s="79"/>
      <c r="R804" s="77"/>
    </row>
    <row r="805">
      <c r="A805" s="77"/>
      <c r="B805" s="77"/>
      <c r="C805" s="77"/>
      <c r="D805" s="77"/>
      <c r="E805" s="77"/>
      <c r="F805" s="101"/>
      <c r="G805" s="77"/>
      <c r="H805" s="79"/>
      <c r="I805" s="77"/>
      <c r="J805" s="77"/>
      <c r="K805" s="79"/>
      <c r="L805" s="77"/>
      <c r="M805" s="77"/>
      <c r="N805" s="79"/>
      <c r="O805" s="77"/>
      <c r="P805" s="77"/>
      <c r="Q805" s="79"/>
      <c r="R805" s="77"/>
    </row>
    <row r="806">
      <c r="A806" s="77"/>
      <c r="B806" s="77"/>
      <c r="C806" s="77"/>
      <c r="D806" s="77"/>
      <c r="E806" s="77"/>
      <c r="F806" s="101"/>
      <c r="G806" s="77"/>
      <c r="H806" s="79"/>
      <c r="I806" s="77"/>
      <c r="J806" s="77"/>
      <c r="K806" s="79"/>
      <c r="L806" s="77"/>
      <c r="M806" s="77"/>
      <c r="N806" s="79"/>
      <c r="O806" s="77"/>
      <c r="P806" s="77"/>
      <c r="Q806" s="79"/>
      <c r="R806" s="77"/>
    </row>
    <row r="807">
      <c r="A807" s="77"/>
      <c r="B807" s="77"/>
      <c r="C807" s="77"/>
      <c r="D807" s="77"/>
      <c r="E807" s="77"/>
      <c r="F807" s="101"/>
      <c r="G807" s="77"/>
      <c r="H807" s="79"/>
      <c r="I807" s="77"/>
      <c r="J807" s="77"/>
      <c r="K807" s="79"/>
      <c r="L807" s="77"/>
      <c r="M807" s="77"/>
      <c r="N807" s="79"/>
      <c r="O807" s="77"/>
      <c r="P807" s="77"/>
      <c r="Q807" s="79"/>
      <c r="R807" s="77"/>
    </row>
    <row r="808">
      <c r="A808" s="77"/>
      <c r="B808" s="77"/>
      <c r="C808" s="77"/>
      <c r="D808" s="77"/>
      <c r="E808" s="77"/>
      <c r="F808" s="101"/>
      <c r="G808" s="77"/>
      <c r="H808" s="79"/>
      <c r="I808" s="77"/>
      <c r="J808" s="77"/>
      <c r="K808" s="79"/>
      <c r="L808" s="77"/>
      <c r="M808" s="77"/>
      <c r="N808" s="79"/>
      <c r="O808" s="77"/>
      <c r="P808" s="77"/>
      <c r="Q808" s="79"/>
      <c r="R808" s="77"/>
    </row>
    <row r="809">
      <c r="A809" s="77"/>
      <c r="B809" s="77"/>
      <c r="C809" s="77"/>
      <c r="D809" s="77"/>
      <c r="E809" s="77"/>
      <c r="F809" s="101"/>
      <c r="G809" s="77"/>
      <c r="H809" s="79"/>
      <c r="I809" s="77"/>
      <c r="J809" s="77"/>
      <c r="K809" s="79"/>
      <c r="L809" s="77"/>
      <c r="M809" s="77"/>
      <c r="N809" s="79"/>
      <c r="O809" s="77"/>
      <c r="P809" s="77"/>
      <c r="Q809" s="79"/>
      <c r="R809" s="77"/>
    </row>
    <row r="810">
      <c r="A810" s="77"/>
      <c r="B810" s="77"/>
      <c r="C810" s="77"/>
      <c r="D810" s="77"/>
      <c r="E810" s="77"/>
      <c r="F810" s="101"/>
      <c r="G810" s="77"/>
      <c r="H810" s="79"/>
      <c r="I810" s="77"/>
      <c r="J810" s="77"/>
      <c r="K810" s="79"/>
      <c r="L810" s="77"/>
      <c r="M810" s="77"/>
      <c r="N810" s="79"/>
      <c r="O810" s="77"/>
      <c r="P810" s="77"/>
      <c r="Q810" s="79"/>
      <c r="R810" s="77"/>
    </row>
    <row r="811">
      <c r="A811" s="77"/>
      <c r="B811" s="77"/>
      <c r="C811" s="77"/>
      <c r="D811" s="77"/>
      <c r="E811" s="77"/>
      <c r="F811" s="101"/>
      <c r="G811" s="77"/>
      <c r="H811" s="79"/>
      <c r="I811" s="77"/>
      <c r="J811" s="77"/>
      <c r="K811" s="79"/>
      <c r="L811" s="77"/>
      <c r="M811" s="77"/>
      <c r="N811" s="79"/>
      <c r="O811" s="77"/>
      <c r="P811" s="77"/>
      <c r="Q811" s="79"/>
      <c r="R811" s="77"/>
    </row>
    <row r="812">
      <c r="A812" s="77"/>
      <c r="B812" s="77"/>
      <c r="C812" s="77"/>
      <c r="D812" s="77"/>
      <c r="E812" s="77"/>
      <c r="F812" s="101"/>
      <c r="G812" s="77"/>
      <c r="H812" s="79"/>
      <c r="I812" s="77"/>
      <c r="J812" s="77"/>
      <c r="K812" s="79"/>
      <c r="L812" s="77"/>
      <c r="M812" s="77"/>
      <c r="N812" s="79"/>
      <c r="O812" s="77"/>
      <c r="P812" s="77"/>
      <c r="Q812" s="79"/>
      <c r="R812" s="77"/>
    </row>
    <row r="813">
      <c r="A813" s="77"/>
      <c r="B813" s="77"/>
      <c r="C813" s="77"/>
      <c r="D813" s="77"/>
      <c r="E813" s="77"/>
      <c r="F813" s="101"/>
      <c r="G813" s="77"/>
      <c r="H813" s="79"/>
      <c r="I813" s="77"/>
      <c r="J813" s="77"/>
      <c r="K813" s="79"/>
      <c r="L813" s="77"/>
      <c r="M813" s="77"/>
      <c r="N813" s="79"/>
      <c r="O813" s="77"/>
      <c r="P813" s="77"/>
      <c r="Q813" s="79"/>
      <c r="R813" s="77"/>
    </row>
    <row r="814">
      <c r="A814" s="77"/>
      <c r="B814" s="77"/>
      <c r="C814" s="77"/>
      <c r="D814" s="77"/>
      <c r="E814" s="77"/>
      <c r="F814" s="101"/>
      <c r="G814" s="77"/>
      <c r="H814" s="79"/>
      <c r="I814" s="77"/>
      <c r="J814" s="77"/>
      <c r="K814" s="79"/>
      <c r="L814" s="77"/>
      <c r="M814" s="77"/>
      <c r="N814" s="79"/>
      <c r="O814" s="77"/>
      <c r="P814" s="77"/>
      <c r="Q814" s="79"/>
      <c r="R814" s="77"/>
    </row>
    <row r="815">
      <c r="A815" s="77"/>
      <c r="B815" s="77"/>
      <c r="C815" s="77"/>
      <c r="D815" s="77"/>
      <c r="E815" s="77"/>
      <c r="F815" s="101"/>
      <c r="G815" s="77"/>
      <c r="H815" s="79"/>
      <c r="I815" s="77"/>
      <c r="J815" s="77"/>
      <c r="K815" s="79"/>
      <c r="L815" s="77"/>
      <c r="M815" s="77"/>
      <c r="N815" s="79"/>
      <c r="O815" s="77"/>
      <c r="P815" s="77"/>
      <c r="Q815" s="79"/>
      <c r="R815" s="77"/>
    </row>
    <row r="816">
      <c r="A816" s="77"/>
      <c r="B816" s="77"/>
      <c r="C816" s="77"/>
      <c r="D816" s="77"/>
      <c r="E816" s="77"/>
      <c r="F816" s="101"/>
      <c r="G816" s="77"/>
      <c r="H816" s="79"/>
      <c r="I816" s="77"/>
      <c r="J816" s="77"/>
      <c r="K816" s="79"/>
      <c r="L816" s="77"/>
      <c r="M816" s="77"/>
      <c r="N816" s="79"/>
      <c r="O816" s="77"/>
      <c r="P816" s="77"/>
      <c r="Q816" s="79"/>
      <c r="R816" s="77"/>
    </row>
    <row r="817">
      <c r="A817" s="77"/>
      <c r="B817" s="77"/>
      <c r="C817" s="77"/>
      <c r="D817" s="77"/>
      <c r="E817" s="77"/>
      <c r="F817" s="101"/>
      <c r="G817" s="77"/>
      <c r="H817" s="79"/>
      <c r="I817" s="77"/>
      <c r="J817" s="77"/>
      <c r="K817" s="79"/>
      <c r="L817" s="77"/>
      <c r="M817" s="77"/>
      <c r="N817" s="79"/>
      <c r="O817" s="77"/>
      <c r="P817" s="77"/>
      <c r="Q817" s="79"/>
      <c r="R817" s="77"/>
    </row>
    <row r="818">
      <c r="A818" s="77"/>
      <c r="B818" s="77"/>
      <c r="C818" s="77"/>
      <c r="D818" s="77"/>
      <c r="E818" s="77"/>
      <c r="F818" s="101"/>
      <c r="G818" s="77"/>
      <c r="H818" s="79"/>
      <c r="I818" s="77"/>
      <c r="J818" s="77"/>
      <c r="K818" s="79"/>
      <c r="L818" s="77"/>
      <c r="M818" s="77"/>
      <c r="N818" s="79"/>
      <c r="O818" s="77"/>
      <c r="P818" s="77"/>
      <c r="Q818" s="79"/>
      <c r="R818" s="77"/>
    </row>
    <row r="819">
      <c r="A819" s="77"/>
      <c r="B819" s="77"/>
      <c r="C819" s="77"/>
      <c r="D819" s="77"/>
      <c r="E819" s="77"/>
      <c r="F819" s="101"/>
      <c r="G819" s="77"/>
      <c r="H819" s="79"/>
      <c r="I819" s="77"/>
      <c r="J819" s="77"/>
      <c r="K819" s="79"/>
      <c r="L819" s="77"/>
      <c r="M819" s="77"/>
      <c r="N819" s="79"/>
      <c r="O819" s="77"/>
      <c r="P819" s="77"/>
      <c r="Q819" s="79"/>
      <c r="R819" s="77"/>
    </row>
    <row r="820">
      <c r="A820" s="77"/>
      <c r="B820" s="77"/>
      <c r="C820" s="77"/>
      <c r="D820" s="77"/>
      <c r="E820" s="77"/>
      <c r="F820" s="101"/>
      <c r="G820" s="77"/>
      <c r="H820" s="79"/>
      <c r="I820" s="77"/>
      <c r="J820" s="77"/>
      <c r="K820" s="79"/>
      <c r="L820" s="77"/>
      <c r="M820" s="77"/>
      <c r="N820" s="79"/>
      <c r="O820" s="77"/>
      <c r="P820" s="77"/>
      <c r="Q820" s="79"/>
      <c r="R820" s="77"/>
    </row>
    <row r="821">
      <c r="A821" s="77"/>
      <c r="B821" s="77"/>
      <c r="C821" s="77"/>
      <c r="D821" s="77"/>
      <c r="E821" s="77"/>
      <c r="F821" s="101"/>
      <c r="G821" s="77"/>
      <c r="H821" s="79"/>
      <c r="I821" s="77"/>
      <c r="J821" s="77"/>
      <c r="K821" s="79"/>
      <c r="L821" s="77"/>
      <c r="M821" s="77"/>
      <c r="N821" s="79"/>
      <c r="O821" s="77"/>
      <c r="P821" s="77"/>
      <c r="Q821" s="79"/>
      <c r="R821" s="77"/>
    </row>
    <row r="822">
      <c r="A822" s="77"/>
      <c r="B822" s="77"/>
      <c r="C822" s="77"/>
      <c r="D822" s="77"/>
      <c r="E822" s="77"/>
      <c r="F822" s="101"/>
      <c r="G822" s="77"/>
      <c r="H822" s="79"/>
      <c r="I822" s="77"/>
      <c r="J822" s="77"/>
      <c r="K822" s="79"/>
      <c r="L822" s="77"/>
      <c r="M822" s="77"/>
      <c r="N822" s="79"/>
      <c r="O822" s="77"/>
      <c r="P822" s="77"/>
      <c r="Q822" s="79"/>
      <c r="R822" s="77"/>
    </row>
    <row r="823">
      <c r="A823" s="77"/>
      <c r="B823" s="77"/>
      <c r="C823" s="77"/>
      <c r="D823" s="77"/>
      <c r="E823" s="77"/>
      <c r="F823" s="101"/>
      <c r="G823" s="77"/>
      <c r="H823" s="79"/>
      <c r="I823" s="77"/>
      <c r="J823" s="77"/>
      <c r="K823" s="79"/>
      <c r="L823" s="77"/>
      <c r="M823" s="77"/>
      <c r="N823" s="79"/>
      <c r="O823" s="77"/>
      <c r="P823" s="77"/>
      <c r="Q823" s="79"/>
      <c r="R823" s="77"/>
    </row>
    <row r="824">
      <c r="A824" s="77"/>
      <c r="B824" s="77"/>
      <c r="C824" s="77"/>
      <c r="D824" s="77"/>
      <c r="E824" s="77"/>
      <c r="F824" s="101"/>
      <c r="G824" s="77"/>
      <c r="H824" s="79"/>
      <c r="I824" s="77"/>
      <c r="J824" s="77"/>
      <c r="K824" s="79"/>
      <c r="L824" s="77"/>
      <c r="M824" s="77"/>
      <c r="N824" s="79"/>
      <c r="O824" s="77"/>
      <c r="P824" s="77"/>
      <c r="Q824" s="79"/>
      <c r="R824" s="77"/>
    </row>
    <row r="825">
      <c r="A825" s="77"/>
      <c r="B825" s="77"/>
      <c r="C825" s="77"/>
      <c r="D825" s="77"/>
      <c r="E825" s="77"/>
      <c r="F825" s="101"/>
      <c r="G825" s="77"/>
      <c r="H825" s="79"/>
      <c r="I825" s="77"/>
      <c r="J825" s="77"/>
      <c r="K825" s="79"/>
      <c r="L825" s="77"/>
      <c r="M825" s="77"/>
      <c r="N825" s="79"/>
      <c r="O825" s="77"/>
      <c r="P825" s="77"/>
      <c r="Q825" s="79"/>
      <c r="R825" s="77"/>
    </row>
    <row r="826">
      <c r="A826" s="77"/>
      <c r="B826" s="77"/>
      <c r="C826" s="77"/>
      <c r="D826" s="77"/>
      <c r="E826" s="77"/>
      <c r="F826" s="101"/>
      <c r="G826" s="77"/>
      <c r="H826" s="79"/>
      <c r="I826" s="77"/>
      <c r="J826" s="77"/>
      <c r="K826" s="79"/>
      <c r="L826" s="77"/>
      <c r="M826" s="77"/>
      <c r="N826" s="79"/>
      <c r="O826" s="77"/>
      <c r="P826" s="77"/>
      <c r="Q826" s="79"/>
      <c r="R826" s="77"/>
    </row>
    <row r="827">
      <c r="A827" s="77"/>
      <c r="B827" s="77"/>
      <c r="C827" s="77"/>
      <c r="D827" s="77"/>
      <c r="E827" s="77"/>
      <c r="F827" s="101"/>
      <c r="G827" s="77"/>
      <c r="H827" s="79"/>
      <c r="I827" s="77"/>
      <c r="J827" s="77"/>
      <c r="K827" s="79"/>
      <c r="L827" s="77"/>
      <c r="M827" s="77"/>
      <c r="N827" s="79"/>
      <c r="O827" s="77"/>
      <c r="P827" s="77"/>
      <c r="Q827" s="79"/>
      <c r="R827" s="77"/>
    </row>
    <row r="828">
      <c r="A828" s="77"/>
      <c r="B828" s="77"/>
      <c r="C828" s="77"/>
      <c r="D828" s="77"/>
      <c r="E828" s="77"/>
      <c r="F828" s="101"/>
      <c r="G828" s="77"/>
      <c r="H828" s="79"/>
      <c r="I828" s="77"/>
      <c r="J828" s="77"/>
      <c r="K828" s="79"/>
      <c r="L828" s="77"/>
      <c r="M828" s="77"/>
      <c r="N828" s="79"/>
      <c r="O828" s="77"/>
      <c r="P828" s="77"/>
      <c r="Q828" s="79"/>
      <c r="R828" s="77"/>
    </row>
    <row r="829">
      <c r="A829" s="77"/>
      <c r="B829" s="77"/>
      <c r="C829" s="77"/>
      <c r="D829" s="77"/>
      <c r="E829" s="77"/>
      <c r="F829" s="101"/>
      <c r="G829" s="77"/>
      <c r="H829" s="79"/>
      <c r="I829" s="77"/>
      <c r="J829" s="77"/>
      <c r="K829" s="79"/>
      <c r="L829" s="77"/>
      <c r="M829" s="77"/>
      <c r="N829" s="79"/>
      <c r="O829" s="77"/>
      <c r="P829" s="77"/>
      <c r="Q829" s="79"/>
      <c r="R829" s="77"/>
    </row>
    <row r="830">
      <c r="A830" s="77"/>
      <c r="B830" s="77"/>
      <c r="C830" s="77"/>
      <c r="D830" s="77"/>
      <c r="E830" s="77"/>
      <c r="F830" s="101"/>
      <c r="G830" s="77"/>
      <c r="H830" s="79"/>
      <c r="I830" s="77"/>
      <c r="J830" s="77"/>
      <c r="K830" s="79"/>
      <c r="L830" s="77"/>
      <c r="M830" s="77"/>
      <c r="N830" s="79"/>
      <c r="O830" s="77"/>
      <c r="P830" s="77"/>
      <c r="Q830" s="79"/>
      <c r="R830" s="77"/>
    </row>
    <row r="831">
      <c r="A831" s="77"/>
      <c r="B831" s="77"/>
      <c r="C831" s="77"/>
      <c r="D831" s="77"/>
      <c r="E831" s="77"/>
      <c r="F831" s="101"/>
      <c r="G831" s="77"/>
      <c r="H831" s="79"/>
      <c r="I831" s="77"/>
      <c r="J831" s="77"/>
      <c r="K831" s="79"/>
      <c r="L831" s="77"/>
      <c r="M831" s="77"/>
      <c r="N831" s="79"/>
      <c r="O831" s="77"/>
      <c r="P831" s="77"/>
      <c r="Q831" s="79"/>
      <c r="R831" s="77"/>
    </row>
    <row r="832">
      <c r="A832" s="77"/>
      <c r="B832" s="77"/>
      <c r="C832" s="77"/>
      <c r="D832" s="77"/>
      <c r="E832" s="77"/>
      <c r="F832" s="101"/>
      <c r="G832" s="77"/>
      <c r="H832" s="79"/>
      <c r="I832" s="77"/>
      <c r="J832" s="77"/>
      <c r="K832" s="79"/>
      <c r="L832" s="77"/>
      <c r="M832" s="77"/>
      <c r="N832" s="79"/>
      <c r="O832" s="77"/>
      <c r="P832" s="77"/>
      <c r="Q832" s="79"/>
      <c r="R832" s="77"/>
    </row>
    <row r="833">
      <c r="A833" s="77"/>
      <c r="B833" s="77"/>
      <c r="C833" s="77"/>
      <c r="D833" s="77"/>
      <c r="E833" s="77"/>
      <c r="F833" s="101"/>
      <c r="G833" s="77"/>
      <c r="H833" s="79"/>
      <c r="I833" s="77"/>
      <c r="J833" s="77"/>
      <c r="K833" s="79"/>
      <c r="L833" s="77"/>
      <c r="M833" s="77"/>
      <c r="N833" s="79"/>
      <c r="O833" s="77"/>
      <c r="P833" s="77"/>
      <c r="Q833" s="79"/>
      <c r="R833" s="77"/>
    </row>
    <row r="834">
      <c r="A834" s="77"/>
      <c r="B834" s="77"/>
      <c r="C834" s="77"/>
      <c r="D834" s="77"/>
      <c r="E834" s="77"/>
      <c r="F834" s="101"/>
      <c r="G834" s="77"/>
      <c r="H834" s="79"/>
      <c r="I834" s="77"/>
      <c r="J834" s="77"/>
      <c r="K834" s="79"/>
      <c r="L834" s="77"/>
      <c r="M834" s="77"/>
      <c r="N834" s="79"/>
      <c r="O834" s="77"/>
      <c r="P834" s="77"/>
      <c r="Q834" s="79"/>
      <c r="R834" s="77"/>
    </row>
    <row r="835">
      <c r="A835" s="77"/>
      <c r="B835" s="77"/>
      <c r="C835" s="77"/>
      <c r="D835" s="77"/>
      <c r="E835" s="77"/>
      <c r="F835" s="101"/>
      <c r="G835" s="77"/>
      <c r="H835" s="79"/>
      <c r="I835" s="77"/>
      <c r="J835" s="77"/>
      <c r="K835" s="79"/>
      <c r="L835" s="77"/>
      <c r="M835" s="77"/>
      <c r="N835" s="79"/>
      <c r="O835" s="77"/>
      <c r="P835" s="77"/>
      <c r="Q835" s="79"/>
      <c r="R835" s="77"/>
    </row>
    <row r="836">
      <c r="A836" s="77"/>
      <c r="B836" s="77"/>
      <c r="C836" s="77"/>
      <c r="D836" s="77"/>
      <c r="E836" s="77"/>
      <c r="F836" s="101"/>
      <c r="G836" s="77"/>
      <c r="H836" s="79"/>
      <c r="I836" s="77"/>
      <c r="J836" s="77"/>
      <c r="K836" s="79"/>
      <c r="L836" s="77"/>
      <c r="M836" s="77"/>
      <c r="N836" s="79"/>
      <c r="O836" s="77"/>
      <c r="P836" s="77"/>
      <c r="Q836" s="79"/>
      <c r="R836" s="77"/>
    </row>
    <row r="837">
      <c r="A837" s="77"/>
      <c r="B837" s="77"/>
      <c r="C837" s="77"/>
      <c r="D837" s="77"/>
      <c r="E837" s="77"/>
      <c r="F837" s="101"/>
      <c r="G837" s="77"/>
      <c r="H837" s="79"/>
      <c r="I837" s="77"/>
      <c r="J837" s="77"/>
      <c r="K837" s="79"/>
      <c r="L837" s="77"/>
      <c r="M837" s="77"/>
      <c r="N837" s="79"/>
      <c r="O837" s="77"/>
      <c r="P837" s="77"/>
      <c r="Q837" s="79"/>
      <c r="R837" s="77"/>
    </row>
    <row r="838">
      <c r="A838" s="77"/>
      <c r="B838" s="77"/>
      <c r="C838" s="77"/>
      <c r="D838" s="77"/>
      <c r="E838" s="77"/>
      <c r="F838" s="101"/>
      <c r="G838" s="77"/>
      <c r="H838" s="79"/>
      <c r="I838" s="77"/>
      <c r="J838" s="77"/>
      <c r="K838" s="79"/>
      <c r="L838" s="77"/>
      <c r="M838" s="77"/>
      <c r="N838" s="79"/>
      <c r="O838" s="77"/>
      <c r="P838" s="77"/>
      <c r="Q838" s="79"/>
      <c r="R838" s="77"/>
    </row>
    <row r="839">
      <c r="A839" s="77"/>
      <c r="B839" s="77"/>
      <c r="C839" s="77"/>
      <c r="D839" s="77"/>
      <c r="E839" s="77"/>
      <c r="F839" s="101"/>
      <c r="G839" s="77"/>
      <c r="H839" s="79"/>
      <c r="I839" s="77"/>
      <c r="J839" s="77"/>
      <c r="K839" s="79"/>
      <c r="L839" s="77"/>
      <c r="M839" s="77"/>
      <c r="N839" s="79"/>
      <c r="O839" s="77"/>
      <c r="P839" s="77"/>
      <c r="Q839" s="79"/>
      <c r="R839" s="77"/>
    </row>
    <row r="840">
      <c r="A840" s="77"/>
      <c r="B840" s="77"/>
      <c r="C840" s="77"/>
      <c r="D840" s="77"/>
      <c r="E840" s="77"/>
      <c r="F840" s="101"/>
      <c r="G840" s="77"/>
      <c r="H840" s="79"/>
      <c r="I840" s="77"/>
      <c r="J840" s="77"/>
      <c r="K840" s="79"/>
      <c r="L840" s="77"/>
      <c r="M840" s="77"/>
      <c r="N840" s="79"/>
      <c r="O840" s="77"/>
      <c r="P840" s="77"/>
      <c r="Q840" s="79"/>
      <c r="R840" s="77"/>
    </row>
    <row r="841">
      <c r="A841" s="77"/>
      <c r="B841" s="77"/>
      <c r="C841" s="77"/>
      <c r="D841" s="77"/>
      <c r="E841" s="77"/>
      <c r="F841" s="101"/>
      <c r="G841" s="77"/>
      <c r="H841" s="79"/>
      <c r="I841" s="77"/>
      <c r="J841" s="77"/>
      <c r="K841" s="79"/>
      <c r="L841" s="77"/>
      <c r="M841" s="77"/>
      <c r="N841" s="79"/>
      <c r="O841" s="77"/>
      <c r="P841" s="77"/>
      <c r="Q841" s="79"/>
      <c r="R841" s="77"/>
    </row>
    <row r="842">
      <c r="A842" s="77"/>
      <c r="B842" s="77"/>
      <c r="C842" s="77"/>
      <c r="D842" s="77"/>
      <c r="E842" s="77"/>
      <c r="F842" s="101"/>
      <c r="G842" s="77"/>
      <c r="H842" s="79"/>
      <c r="I842" s="77"/>
      <c r="J842" s="77"/>
      <c r="K842" s="79"/>
      <c r="L842" s="77"/>
      <c r="M842" s="77"/>
      <c r="N842" s="79"/>
      <c r="O842" s="77"/>
      <c r="P842" s="77"/>
      <c r="Q842" s="79"/>
      <c r="R842" s="77"/>
    </row>
    <row r="843">
      <c r="A843" s="77"/>
      <c r="B843" s="77"/>
      <c r="C843" s="77"/>
      <c r="D843" s="77"/>
      <c r="E843" s="77"/>
      <c r="F843" s="101"/>
      <c r="G843" s="77"/>
      <c r="H843" s="79"/>
      <c r="I843" s="77"/>
      <c r="J843" s="77"/>
      <c r="K843" s="79"/>
      <c r="L843" s="77"/>
      <c r="M843" s="77"/>
      <c r="N843" s="79"/>
      <c r="O843" s="77"/>
      <c r="P843" s="77"/>
      <c r="Q843" s="79"/>
      <c r="R843" s="77"/>
    </row>
    <row r="844">
      <c r="A844" s="77"/>
      <c r="B844" s="77"/>
      <c r="C844" s="77"/>
      <c r="D844" s="77"/>
      <c r="E844" s="77"/>
      <c r="F844" s="101"/>
      <c r="G844" s="77"/>
      <c r="H844" s="79"/>
      <c r="I844" s="77"/>
      <c r="J844" s="77"/>
      <c r="K844" s="79"/>
      <c r="L844" s="77"/>
      <c r="M844" s="77"/>
      <c r="N844" s="79"/>
      <c r="O844" s="77"/>
      <c r="P844" s="77"/>
      <c r="Q844" s="79"/>
      <c r="R844" s="77"/>
    </row>
    <row r="845">
      <c r="A845" s="77"/>
      <c r="B845" s="77"/>
      <c r="C845" s="77"/>
      <c r="D845" s="77"/>
      <c r="E845" s="77"/>
      <c r="F845" s="101"/>
      <c r="G845" s="77"/>
      <c r="H845" s="79"/>
      <c r="I845" s="77"/>
      <c r="J845" s="77"/>
      <c r="K845" s="79"/>
      <c r="L845" s="77"/>
      <c r="M845" s="77"/>
      <c r="N845" s="79"/>
      <c r="O845" s="77"/>
      <c r="P845" s="77"/>
      <c r="Q845" s="79"/>
      <c r="R845" s="77"/>
    </row>
    <row r="846">
      <c r="A846" s="77"/>
      <c r="B846" s="77"/>
      <c r="C846" s="77"/>
      <c r="D846" s="77"/>
      <c r="E846" s="77"/>
      <c r="F846" s="101"/>
      <c r="G846" s="77"/>
      <c r="H846" s="79"/>
      <c r="I846" s="77"/>
      <c r="J846" s="77"/>
      <c r="K846" s="79"/>
      <c r="L846" s="77"/>
      <c r="M846" s="77"/>
      <c r="N846" s="79"/>
      <c r="O846" s="77"/>
      <c r="P846" s="77"/>
      <c r="Q846" s="79"/>
      <c r="R846" s="77"/>
    </row>
    <row r="847">
      <c r="A847" s="77"/>
      <c r="B847" s="77"/>
      <c r="C847" s="77"/>
      <c r="D847" s="77"/>
      <c r="E847" s="77"/>
      <c r="F847" s="101"/>
      <c r="G847" s="77"/>
      <c r="H847" s="79"/>
      <c r="I847" s="77"/>
      <c r="J847" s="77"/>
      <c r="K847" s="79"/>
      <c r="L847" s="77"/>
      <c r="M847" s="77"/>
      <c r="N847" s="79"/>
      <c r="O847" s="77"/>
      <c r="P847" s="77"/>
      <c r="Q847" s="79"/>
      <c r="R847" s="77"/>
    </row>
    <row r="848">
      <c r="A848" s="77"/>
      <c r="B848" s="77"/>
      <c r="C848" s="77"/>
      <c r="D848" s="77"/>
      <c r="E848" s="77"/>
      <c r="F848" s="101"/>
      <c r="G848" s="77"/>
      <c r="H848" s="79"/>
      <c r="I848" s="77"/>
      <c r="J848" s="77"/>
      <c r="K848" s="79"/>
      <c r="L848" s="77"/>
      <c r="M848" s="77"/>
      <c r="N848" s="79"/>
      <c r="O848" s="77"/>
      <c r="P848" s="77"/>
      <c r="Q848" s="79"/>
      <c r="R848" s="77"/>
    </row>
    <row r="849">
      <c r="A849" s="77"/>
      <c r="B849" s="77"/>
      <c r="C849" s="77"/>
      <c r="D849" s="77"/>
      <c r="E849" s="77"/>
      <c r="F849" s="101"/>
      <c r="G849" s="77"/>
      <c r="H849" s="79"/>
      <c r="I849" s="77"/>
      <c r="J849" s="77"/>
      <c r="K849" s="79"/>
      <c r="L849" s="77"/>
      <c r="M849" s="77"/>
      <c r="N849" s="79"/>
      <c r="O849" s="77"/>
      <c r="P849" s="77"/>
      <c r="Q849" s="79"/>
      <c r="R849" s="77"/>
    </row>
    <row r="850">
      <c r="A850" s="77"/>
      <c r="B850" s="77"/>
      <c r="C850" s="77"/>
      <c r="D850" s="77"/>
      <c r="E850" s="77"/>
      <c r="F850" s="101"/>
      <c r="G850" s="77"/>
      <c r="H850" s="79"/>
      <c r="I850" s="77"/>
      <c r="J850" s="77"/>
      <c r="K850" s="79"/>
      <c r="L850" s="77"/>
      <c r="M850" s="77"/>
      <c r="N850" s="79"/>
      <c r="O850" s="77"/>
      <c r="P850" s="77"/>
      <c r="Q850" s="79"/>
      <c r="R850" s="77"/>
    </row>
    <row r="851">
      <c r="A851" s="77"/>
      <c r="B851" s="77"/>
      <c r="C851" s="77"/>
      <c r="D851" s="77"/>
      <c r="E851" s="77"/>
      <c r="F851" s="101"/>
      <c r="G851" s="77"/>
      <c r="H851" s="79"/>
      <c r="I851" s="77"/>
      <c r="J851" s="77"/>
      <c r="K851" s="79"/>
      <c r="L851" s="77"/>
      <c r="M851" s="77"/>
      <c r="N851" s="79"/>
      <c r="O851" s="77"/>
      <c r="P851" s="77"/>
      <c r="Q851" s="79"/>
      <c r="R851" s="77"/>
    </row>
    <row r="852">
      <c r="A852" s="77"/>
      <c r="B852" s="77"/>
      <c r="C852" s="77"/>
      <c r="D852" s="77"/>
      <c r="E852" s="77"/>
      <c r="F852" s="101"/>
      <c r="G852" s="77"/>
      <c r="H852" s="79"/>
      <c r="I852" s="77"/>
      <c r="J852" s="77"/>
      <c r="K852" s="79"/>
      <c r="L852" s="77"/>
      <c r="M852" s="77"/>
      <c r="N852" s="79"/>
      <c r="O852" s="77"/>
      <c r="P852" s="77"/>
      <c r="Q852" s="79"/>
      <c r="R852" s="77"/>
    </row>
    <row r="853">
      <c r="A853" s="77"/>
      <c r="B853" s="77"/>
      <c r="C853" s="77"/>
      <c r="D853" s="77"/>
      <c r="E853" s="77"/>
      <c r="F853" s="101"/>
      <c r="G853" s="77"/>
      <c r="H853" s="79"/>
      <c r="I853" s="77"/>
      <c r="J853" s="77"/>
      <c r="K853" s="79"/>
      <c r="L853" s="77"/>
      <c r="M853" s="77"/>
      <c r="N853" s="79"/>
      <c r="O853" s="77"/>
      <c r="P853" s="77"/>
      <c r="Q853" s="79"/>
      <c r="R853" s="77"/>
    </row>
    <row r="854">
      <c r="A854" s="77"/>
      <c r="B854" s="77"/>
      <c r="C854" s="77"/>
      <c r="D854" s="77"/>
      <c r="E854" s="77"/>
      <c r="F854" s="101"/>
      <c r="G854" s="77"/>
      <c r="H854" s="79"/>
      <c r="I854" s="77"/>
      <c r="J854" s="77"/>
      <c r="K854" s="79"/>
      <c r="L854" s="77"/>
      <c r="M854" s="77"/>
      <c r="N854" s="79"/>
      <c r="O854" s="77"/>
      <c r="P854" s="77"/>
      <c r="Q854" s="79"/>
      <c r="R854" s="77"/>
    </row>
    <row r="855">
      <c r="A855" s="77"/>
      <c r="B855" s="77"/>
      <c r="C855" s="77"/>
      <c r="D855" s="77"/>
      <c r="E855" s="77"/>
      <c r="F855" s="101"/>
      <c r="G855" s="77"/>
      <c r="H855" s="79"/>
      <c r="I855" s="77"/>
      <c r="J855" s="77"/>
      <c r="K855" s="79"/>
      <c r="L855" s="77"/>
      <c r="M855" s="77"/>
      <c r="N855" s="79"/>
      <c r="O855" s="77"/>
      <c r="P855" s="77"/>
      <c r="Q855" s="79"/>
      <c r="R855" s="77"/>
    </row>
    <row r="856">
      <c r="A856" s="77"/>
      <c r="B856" s="77"/>
      <c r="C856" s="77"/>
      <c r="D856" s="77"/>
      <c r="E856" s="77"/>
      <c r="F856" s="101"/>
      <c r="G856" s="77"/>
      <c r="H856" s="79"/>
      <c r="I856" s="77"/>
      <c r="J856" s="77"/>
      <c r="K856" s="79"/>
      <c r="L856" s="77"/>
      <c r="M856" s="77"/>
      <c r="N856" s="79"/>
      <c r="O856" s="77"/>
      <c r="P856" s="77"/>
      <c r="Q856" s="79"/>
      <c r="R856" s="77"/>
    </row>
    <row r="857">
      <c r="A857" s="77"/>
      <c r="B857" s="77"/>
      <c r="C857" s="77"/>
      <c r="D857" s="77"/>
      <c r="E857" s="77"/>
      <c r="F857" s="101"/>
      <c r="G857" s="77"/>
      <c r="H857" s="79"/>
      <c r="I857" s="77"/>
      <c r="J857" s="77"/>
      <c r="K857" s="79"/>
      <c r="L857" s="77"/>
      <c r="M857" s="77"/>
      <c r="N857" s="79"/>
      <c r="O857" s="77"/>
      <c r="P857" s="77"/>
      <c r="Q857" s="79"/>
      <c r="R857" s="77"/>
    </row>
    <row r="858">
      <c r="A858" s="77"/>
      <c r="B858" s="77"/>
      <c r="C858" s="77"/>
      <c r="D858" s="77"/>
      <c r="E858" s="77"/>
      <c r="F858" s="101"/>
      <c r="G858" s="77"/>
      <c r="H858" s="79"/>
      <c r="I858" s="77"/>
      <c r="J858" s="77"/>
      <c r="K858" s="79"/>
      <c r="L858" s="77"/>
      <c r="M858" s="77"/>
      <c r="N858" s="79"/>
      <c r="O858" s="77"/>
      <c r="P858" s="77"/>
      <c r="Q858" s="79"/>
      <c r="R858" s="77"/>
    </row>
    <row r="859">
      <c r="A859" s="77"/>
      <c r="B859" s="77"/>
      <c r="C859" s="77"/>
      <c r="D859" s="77"/>
      <c r="E859" s="77"/>
      <c r="F859" s="101"/>
      <c r="G859" s="77"/>
      <c r="H859" s="79"/>
      <c r="I859" s="77"/>
      <c r="J859" s="77"/>
      <c r="K859" s="79"/>
      <c r="L859" s="77"/>
      <c r="M859" s="77"/>
      <c r="N859" s="79"/>
      <c r="O859" s="77"/>
      <c r="P859" s="77"/>
      <c r="Q859" s="79"/>
      <c r="R859" s="77"/>
    </row>
    <row r="860">
      <c r="A860" s="77"/>
      <c r="B860" s="77"/>
      <c r="C860" s="77"/>
      <c r="D860" s="77"/>
      <c r="E860" s="77"/>
      <c r="F860" s="101"/>
      <c r="G860" s="77"/>
      <c r="H860" s="79"/>
      <c r="I860" s="77"/>
      <c r="J860" s="77"/>
      <c r="K860" s="79"/>
      <c r="L860" s="77"/>
      <c r="M860" s="77"/>
      <c r="N860" s="79"/>
      <c r="O860" s="77"/>
      <c r="P860" s="77"/>
      <c r="Q860" s="79"/>
      <c r="R860" s="77"/>
    </row>
    <row r="861">
      <c r="A861" s="77"/>
      <c r="B861" s="77"/>
      <c r="C861" s="77"/>
      <c r="D861" s="77"/>
      <c r="E861" s="77"/>
      <c r="F861" s="101"/>
      <c r="G861" s="77"/>
      <c r="H861" s="79"/>
      <c r="I861" s="77"/>
      <c r="J861" s="77"/>
      <c r="K861" s="79"/>
      <c r="L861" s="77"/>
      <c r="M861" s="77"/>
      <c r="N861" s="79"/>
      <c r="O861" s="77"/>
      <c r="P861" s="77"/>
      <c r="Q861" s="79"/>
      <c r="R861" s="77"/>
    </row>
    <row r="862">
      <c r="A862" s="77"/>
      <c r="B862" s="77"/>
      <c r="C862" s="77"/>
      <c r="D862" s="77"/>
      <c r="E862" s="77"/>
      <c r="F862" s="101"/>
      <c r="G862" s="77"/>
      <c r="H862" s="79"/>
      <c r="I862" s="77"/>
      <c r="J862" s="77"/>
      <c r="K862" s="79"/>
      <c r="L862" s="77"/>
      <c r="M862" s="77"/>
      <c r="N862" s="79"/>
      <c r="O862" s="77"/>
      <c r="P862" s="77"/>
      <c r="Q862" s="79"/>
      <c r="R862" s="77"/>
    </row>
    <row r="863">
      <c r="A863" s="77"/>
      <c r="B863" s="77"/>
      <c r="C863" s="77"/>
      <c r="D863" s="77"/>
      <c r="E863" s="77"/>
      <c r="F863" s="101"/>
      <c r="G863" s="77"/>
      <c r="H863" s="79"/>
      <c r="I863" s="77"/>
      <c r="J863" s="77"/>
      <c r="K863" s="79"/>
      <c r="L863" s="77"/>
      <c r="M863" s="77"/>
      <c r="N863" s="79"/>
      <c r="O863" s="77"/>
      <c r="P863" s="77"/>
      <c r="Q863" s="79"/>
      <c r="R863" s="77"/>
    </row>
    <row r="864">
      <c r="A864" s="77"/>
      <c r="B864" s="77"/>
      <c r="C864" s="77"/>
      <c r="D864" s="77"/>
      <c r="E864" s="77"/>
      <c r="F864" s="101"/>
      <c r="G864" s="77"/>
      <c r="H864" s="79"/>
      <c r="I864" s="77"/>
      <c r="J864" s="77"/>
      <c r="K864" s="79"/>
      <c r="L864" s="77"/>
      <c r="M864" s="77"/>
      <c r="N864" s="79"/>
      <c r="O864" s="77"/>
      <c r="P864" s="77"/>
      <c r="Q864" s="79"/>
      <c r="R864" s="77"/>
    </row>
    <row r="865">
      <c r="A865" s="77"/>
      <c r="B865" s="77"/>
      <c r="C865" s="77"/>
      <c r="D865" s="77"/>
      <c r="E865" s="77"/>
      <c r="F865" s="101"/>
      <c r="G865" s="77"/>
      <c r="H865" s="79"/>
      <c r="I865" s="77"/>
      <c r="J865" s="77"/>
      <c r="K865" s="79"/>
      <c r="L865" s="77"/>
      <c r="M865" s="77"/>
      <c r="N865" s="79"/>
      <c r="O865" s="77"/>
      <c r="P865" s="77"/>
      <c r="Q865" s="79"/>
      <c r="R865" s="77"/>
    </row>
    <row r="866">
      <c r="A866" s="77"/>
      <c r="B866" s="77"/>
      <c r="C866" s="77"/>
      <c r="D866" s="77"/>
      <c r="E866" s="77"/>
      <c r="F866" s="101"/>
      <c r="G866" s="77"/>
      <c r="H866" s="79"/>
      <c r="I866" s="77"/>
      <c r="J866" s="77"/>
      <c r="K866" s="79"/>
      <c r="L866" s="77"/>
      <c r="M866" s="77"/>
      <c r="N866" s="79"/>
      <c r="O866" s="77"/>
      <c r="P866" s="77"/>
      <c r="Q866" s="79"/>
      <c r="R866" s="77"/>
    </row>
    <row r="867">
      <c r="A867" s="77"/>
      <c r="B867" s="77"/>
      <c r="C867" s="77"/>
      <c r="D867" s="77"/>
      <c r="E867" s="77"/>
      <c r="F867" s="101"/>
      <c r="G867" s="77"/>
      <c r="H867" s="79"/>
      <c r="I867" s="77"/>
      <c r="J867" s="77"/>
      <c r="K867" s="79"/>
      <c r="L867" s="77"/>
      <c r="M867" s="77"/>
      <c r="N867" s="79"/>
      <c r="O867" s="77"/>
      <c r="P867" s="77"/>
      <c r="Q867" s="79"/>
      <c r="R867" s="77"/>
    </row>
    <row r="868">
      <c r="A868" s="77"/>
      <c r="B868" s="77"/>
      <c r="C868" s="77"/>
      <c r="D868" s="77"/>
      <c r="E868" s="77"/>
      <c r="F868" s="101"/>
      <c r="G868" s="77"/>
      <c r="H868" s="79"/>
      <c r="I868" s="77"/>
      <c r="J868" s="77"/>
      <c r="K868" s="79"/>
      <c r="L868" s="77"/>
      <c r="M868" s="77"/>
      <c r="N868" s="79"/>
      <c r="O868" s="77"/>
      <c r="P868" s="77"/>
      <c r="Q868" s="79"/>
      <c r="R868" s="77"/>
    </row>
    <row r="869">
      <c r="A869" s="77"/>
      <c r="B869" s="77"/>
      <c r="C869" s="77"/>
      <c r="D869" s="77"/>
      <c r="E869" s="77"/>
      <c r="F869" s="101"/>
      <c r="G869" s="77"/>
      <c r="H869" s="79"/>
      <c r="I869" s="77"/>
      <c r="J869" s="77"/>
      <c r="K869" s="79"/>
      <c r="L869" s="77"/>
      <c r="M869" s="77"/>
      <c r="N869" s="79"/>
      <c r="O869" s="77"/>
      <c r="P869" s="77"/>
      <c r="Q869" s="79"/>
      <c r="R869" s="77"/>
    </row>
    <row r="870">
      <c r="A870" s="77"/>
      <c r="B870" s="77"/>
      <c r="C870" s="77"/>
      <c r="D870" s="77"/>
      <c r="E870" s="77"/>
      <c r="F870" s="101"/>
      <c r="G870" s="77"/>
      <c r="H870" s="79"/>
      <c r="I870" s="77"/>
      <c r="J870" s="77"/>
      <c r="K870" s="79"/>
      <c r="L870" s="77"/>
      <c r="M870" s="77"/>
      <c r="N870" s="79"/>
      <c r="O870" s="77"/>
      <c r="P870" s="77"/>
      <c r="Q870" s="79"/>
      <c r="R870" s="77"/>
    </row>
    <row r="871">
      <c r="A871" s="77"/>
      <c r="B871" s="77"/>
      <c r="C871" s="77"/>
      <c r="D871" s="77"/>
      <c r="E871" s="77"/>
      <c r="F871" s="101"/>
      <c r="G871" s="77"/>
      <c r="H871" s="79"/>
      <c r="I871" s="77"/>
      <c r="J871" s="77"/>
      <c r="K871" s="79"/>
      <c r="L871" s="77"/>
      <c r="M871" s="77"/>
      <c r="N871" s="79"/>
      <c r="O871" s="77"/>
      <c r="P871" s="77"/>
      <c r="Q871" s="79"/>
      <c r="R871" s="77"/>
    </row>
    <row r="872">
      <c r="A872" s="77"/>
      <c r="B872" s="77"/>
      <c r="C872" s="77"/>
      <c r="D872" s="77"/>
      <c r="E872" s="77"/>
      <c r="F872" s="101"/>
      <c r="G872" s="77"/>
      <c r="H872" s="79"/>
      <c r="I872" s="77"/>
      <c r="J872" s="77"/>
      <c r="K872" s="79"/>
      <c r="L872" s="77"/>
      <c r="M872" s="77"/>
      <c r="N872" s="79"/>
      <c r="O872" s="77"/>
      <c r="P872" s="77"/>
      <c r="Q872" s="79"/>
      <c r="R872" s="77"/>
    </row>
    <row r="873">
      <c r="A873" s="77"/>
      <c r="B873" s="77"/>
      <c r="C873" s="77"/>
      <c r="D873" s="77"/>
      <c r="E873" s="77"/>
      <c r="F873" s="101"/>
      <c r="G873" s="77"/>
      <c r="H873" s="79"/>
      <c r="I873" s="77"/>
      <c r="J873" s="77"/>
      <c r="K873" s="79"/>
      <c r="L873" s="77"/>
      <c r="M873" s="77"/>
      <c r="N873" s="79"/>
      <c r="O873" s="77"/>
      <c r="P873" s="77"/>
      <c r="Q873" s="79"/>
      <c r="R873" s="77"/>
    </row>
    <row r="874">
      <c r="A874" s="77"/>
      <c r="B874" s="77"/>
      <c r="C874" s="77"/>
      <c r="D874" s="77"/>
      <c r="E874" s="77"/>
      <c r="F874" s="101"/>
      <c r="G874" s="77"/>
      <c r="H874" s="79"/>
      <c r="I874" s="77"/>
      <c r="J874" s="77"/>
      <c r="K874" s="79"/>
      <c r="L874" s="77"/>
      <c r="M874" s="77"/>
      <c r="N874" s="79"/>
      <c r="O874" s="77"/>
      <c r="P874" s="77"/>
      <c r="Q874" s="79"/>
      <c r="R874" s="77"/>
    </row>
    <row r="875">
      <c r="A875" s="77"/>
      <c r="B875" s="77"/>
      <c r="C875" s="77"/>
      <c r="D875" s="77"/>
      <c r="E875" s="77"/>
      <c r="F875" s="101"/>
      <c r="G875" s="77"/>
      <c r="H875" s="79"/>
      <c r="I875" s="77"/>
      <c r="J875" s="77"/>
      <c r="K875" s="79"/>
      <c r="L875" s="77"/>
      <c r="M875" s="77"/>
      <c r="N875" s="79"/>
      <c r="O875" s="77"/>
      <c r="P875" s="77"/>
      <c r="Q875" s="79"/>
      <c r="R875" s="77"/>
    </row>
    <row r="876">
      <c r="A876" s="77"/>
      <c r="B876" s="77"/>
      <c r="C876" s="77"/>
      <c r="D876" s="77"/>
      <c r="E876" s="77"/>
      <c r="F876" s="101"/>
      <c r="G876" s="77"/>
      <c r="H876" s="79"/>
      <c r="I876" s="77"/>
      <c r="J876" s="77"/>
      <c r="K876" s="79"/>
      <c r="L876" s="77"/>
      <c r="M876" s="77"/>
      <c r="N876" s="79"/>
      <c r="O876" s="77"/>
      <c r="P876" s="77"/>
      <c r="Q876" s="79"/>
      <c r="R876" s="77"/>
    </row>
    <row r="877">
      <c r="A877" s="77"/>
      <c r="B877" s="77"/>
      <c r="C877" s="77"/>
      <c r="D877" s="77"/>
      <c r="E877" s="77"/>
      <c r="F877" s="101"/>
      <c r="G877" s="77"/>
      <c r="H877" s="79"/>
      <c r="I877" s="77"/>
      <c r="J877" s="77"/>
      <c r="K877" s="79"/>
      <c r="L877" s="77"/>
      <c r="M877" s="77"/>
      <c r="N877" s="79"/>
      <c r="O877" s="77"/>
      <c r="P877" s="77"/>
      <c r="Q877" s="79"/>
      <c r="R877" s="77"/>
    </row>
    <row r="878">
      <c r="A878" s="77"/>
      <c r="B878" s="77"/>
      <c r="C878" s="77"/>
      <c r="D878" s="77"/>
      <c r="E878" s="77"/>
      <c r="F878" s="101"/>
      <c r="G878" s="77"/>
      <c r="H878" s="79"/>
      <c r="I878" s="77"/>
      <c r="J878" s="77"/>
      <c r="K878" s="79"/>
      <c r="L878" s="77"/>
      <c r="M878" s="77"/>
      <c r="N878" s="79"/>
      <c r="O878" s="77"/>
      <c r="P878" s="77"/>
      <c r="Q878" s="79"/>
      <c r="R878" s="77"/>
    </row>
    <row r="879">
      <c r="A879" s="77"/>
      <c r="B879" s="77"/>
      <c r="C879" s="77"/>
      <c r="D879" s="77"/>
      <c r="E879" s="77"/>
      <c r="F879" s="101"/>
      <c r="G879" s="77"/>
      <c r="H879" s="79"/>
      <c r="I879" s="77"/>
      <c r="J879" s="77"/>
      <c r="K879" s="79"/>
      <c r="L879" s="77"/>
      <c r="M879" s="77"/>
      <c r="N879" s="79"/>
      <c r="O879" s="77"/>
      <c r="P879" s="77"/>
      <c r="Q879" s="79"/>
      <c r="R879" s="77"/>
    </row>
    <row r="880">
      <c r="A880" s="77"/>
      <c r="B880" s="77"/>
      <c r="C880" s="77"/>
      <c r="D880" s="77"/>
      <c r="E880" s="77"/>
      <c r="F880" s="101"/>
      <c r="G880" s="77"/>
      <c r="H880" s="79"/>
      <c r="I880" s="77"/>
      <c r="J880" s="77"/>
      <c r="K880" s="79"/>
      <c r="L880" s="77"/>
      <c r="M880" s="77"/>
      <c r="N880" s="79"/>
      <c r="O880" s="77"/>
      <c r="P880" s="77"/>
      <c r="Q880" s="79"/>
      <c r="R880" s="77"/>
    </row>
    <row r="881">
      <c r="A881" s="77"/>
      <c r="B881" s="77"/>
      <c r="C881" s="77"/>
      <c r="D881" s="77"/>
      <c r="E881" s="77"/>
      <c r="F881" s="101"/>
      <c r="G881" s="77"/>
      <c r="H881" s="79"/>
      <c r="I881" s="77"/>
      <c r="J881" s="77"/>
      <c r="K881" s="79"/>
      <c r="L881" s="77"/>
      <c r="M881" s="77"/>
      <c r="N881" s="79"/>
      <c r="O881" s="77"/>
      <c r="P881" s="77"/>
      <c r="Q881" s="79"/>
      <c r="R881" s="77"/>
    </row>
    <row r="882">
      <c r="A882" s="77"/>
      <c r="B882" s="77"/>
      <c r="C882" s="77"/>
      <c r="D882" s="77"/>
      <c r="E882" s="77"/>
      <c r="F882" s="101"/>
      <c r="G882" s="77"/>
      <c r="H882" s="79"/>
      <c r="I882" s="77"/>
      <c r="J882" s="77"/>
      <c r="K882" s="79"/>
      <c r="L882" s="77"/>
      <c r="M882" s="77"/>
      <c r="N882" s="79"/>
      <c r="O882" s="77"/>
      <c r="P882" s="77"/>
      <c r="Q882" s="79"/>
      <c r="R882" s="77"/>
    </row>
    <row r="883">
      <c r="A883" s="77"/>
      <c r="B883" s="77"/>
      <c r="C883" s="77"/>
      <c r="D883" s="77"/>
      <c r="E883" s="77"/>
      <c r="F883" s="101"/>
      <c r="G883" s="77"/>
      <c r="H883" s="79"/>
      <c r="I883" s="77"/>
      <c r="J883" s="77"/>
      <c r="K883" s="79"/>
      <c r="L883" s="77"/>
      <c r="M883" s="77"/>
      <c r="N883" s="79"/>
      <c r="O883" s="77"/>
      <c r="P883" s="77"/>
      <c r="Q883" s="79"/>
      <c r="R883" s="77"/>
    </row>
    <row r="884">
      <c r="A884" s="77"/>
      <c r="B884" s="77"/>
      <c r="C884" s="77"/>
      <c r="D884" s="77"/>
      <c r="E884" s="77"/>
      <c r="F884" s="101"/>
      <c r="G884" s="77"/>
      <c r="H884" s="79"/>
      <c r="I884" s="77"/>
      <c r="J884" s="77"/>
      <c r="K884" s="79"/>
      <c r="L884" s="77"/>
      <c r="M884" s="77"/>
      <c r="N884" s="79"/>
      <c r="O884" s="77"/>
      <c r="P884" s="77"/>
      <c r="Q884" s="79"/>
      <c r="R884" s="77"/>
    </row>
    <row r="885">
      <c r="A885" s="77"/>
      <c r="B885" s="77"/>
      <c r="C885" s="77"/>
      <c r="D885" s="77"/>
      <c r="E885" s="77"/>
      <c r="F885" s="101"/>
      <c r="G885" s="77"/>
      <c r="H885" s="79"/>
      <c r="I885" s="77"/>
      <c r="J885" s="77"/>
      <c r="K885" s="79"/>
      <c r="L885" s="77"/>
      <c r="M885" s="77"/>
      <c r="N885" s="79"/>
      <c r="O885" s="77"/>
      <c r="P885" s="77"/>
      <c r="Q885" s="79"/>
      <c r="R885" s="77"/>
    </row>
    <row r="886">
      <c r="A886" s="77"/>
      <c r="B886" s="77"/>
      <c r="C886" s="77"/>
      <c r="D886" s="77"/>
      <c r="E886" s="77"/>
      <c r="F886" s="101"/>
      <c r="G886" s="77"/>
      <c r="H886" s="79"/>
      <c r="I886" s="77"/>
      <c r="J886" s="77"/>
      <c r="K886" s="79"/>
      <c r="L886" s="77"/>
      <c r="M886" s="77"/>
      <c r="N886" s="79"/>
      <c r="O886" s="77"/>
      <c r="P886" s="77"/>
      <c r="Q886" s="79"/>
      <c r="R886" s="77"/>
    </row>
    <row r="887">
      <c r="A887" s="77"/>
      <c r="B887" s="77"/>
      <c r="C887" s="77"/>
      <c r="D887" s="77"/>
      <c r="E887" s="77"/>
      <c r="F887" s="101"/>
      <c r="G887" s="77"/>
      <c r="H887" s="79"/>
      <c r="I887" s="77"/>
      <c r="J887" s="77"/>
      <c r="K887" s="79"/>
      <c r="L887" s="77"/>
      <c r="M887" s="77"/>
      <c r="N887" s="79"/>
      <c r="O887" s="77"/>
      <c r="P887" s="77"/>
      <c r="Q887" s="79"/>
      <c r="R887" s="77"/>
    </row>
    <row r="888">
      <c r="A888" s="77"/>
      <c r="B888" s="77"/>
      <c r="C888" s="77"/>
      <c r="D888" s="77"/>
      <c r="E888" s="77"/>
      <c r="F888" s="101"/>
      <c r="G888" s="77"/>
      <c r="H888" s="79"/>
      <c r="I888" s="77"/>
      <c r="J888" s="77"/>
      <c r="K888" s="79"/>
      <c r="L888" s="77"/>
      <c r="M888" s="77"/>
      <c r="N888" s="79"/>
      <c r="O888" s="77"/>
      <c r="P888" s="77"/>
      <c r="Q888" s="79"/>
      <c r="R888" s="77"/>
    </row>
    <row r="889">
      <c r="A889" s="77"/>
      <c r="B889" s="77"/>
      <c r="C889" s="77"/>
      <c r="D889" s="77"/>
      <c r="E889" s="77"/>
      <c r="F889" s="101"/>
      <c r="G889" s="77"/>
      <c r="H889" s="79"/>
      <c r="I889" s="77"/>
      <c r="J889" s="77"/>
      <c r="K889" s="79"/>
      <c r="L889" s="77"/>
      <c r="M889" s="77"/>
      <c r="N889" s="79"/>
      <c r="O889" s="77"/>
      <c r="P889" s="77"/>
      <c r="Q889" s="79"/>
      <c r="R889" s="77"/>
    </row>
    <row r="890">
      <c r="A890" s="77"/>
      <c r="B890" s="77"/>
      <c r="C890" s="77"/>
      <c r="D890" s="77"/>
      <c r="E890" s="77"/>
      <c r="F890" s="101"/>
      <c r="G890" s="77"/>
      <c r="H890" s="79"/>
      <c r="I890" s="77"/>
      <c r="J890" s="77"/>
      <c r="K890" s="79"/>
      <c r="L890" s="77"/>
      <c r="M890" s="77"/>
      <c r="N890" s="79"/>
      <c r="O890" s="77"/>
      <c r="P890" s="77"/>
      <c r="Q890" s="79"/>
      <c r="R890" s="77"/>
    </row>
    <row r="891">
      <c r="A891" s="77"/>
      <c r="B891" s="77"/>
      <c r="C891" s="77"/>
      <c r="D891" s="77"/>
      <c r="E891" s="77"/>
      <c r="F891" s="101"/>
      <c r="G891" s="77"/>
      <c r="H891" s="79"/>
      <c r="I891" s="77"/>
      <c r="J891" s="77"/>
      <c r="K891" s="79"/>
      <c r="L891" s="77"/>
      <c r="M891" s="77"/>
      <c r="N891" s="79"/>
      <c r="O891" s="77"/>
      <c r="P891" s="77"/>
      <c r="Q891" s="79"/>
      <c r="R891" s="77"/>
    </row>
    <row r="892">
      <c r="A892" s="77"/>
      <c r="B892" s="77"/>
      <c r="C892" s="77"/>
      <c r="D892" s="77"/>
      <c r="E892" s="77"/>
      <c r="F892" s="101"/>
      <c r="G892" s="77"/>
      <c r="H892" s="79"/>
      <c r="I892" s="77"/>
      <c r="J892" s="77"/>
      <c r="K892" s="79"/>
      <c r="L892" s="77"/>
      <c r="M892" s="77"/>
      <c r="N892" s="79"/>
      <c r="O892" s="77"/>
      <c r="P892" s="77"/>
      <c r="Q892" s="79"/>
      <c r="R892" s="77"/>
    </row>
    <row r="893">
      <c r="A893" s="77"/>
      <c r="B893" s="77"/>
      <c r="C893" s="77"/>
      <c r="D893" s="77"/>
      <c r="E893" s="77"/>
      <c r="F893" s="101"/>
      <c r="G893" s="77"/>
      <c r="H893" s="79"/>
      <c r="I893" s="77"/>
      <c r="J893" s="77"/>
      <c r="K893" s="79"/>
      <c r="L893" s="77"/>
      <c r="M893" s="77"/>
      <c r="N893" s="79"/>
      <c r="O893" s="77"/>
      <c r="P893" s="77"/>
      <c r="Q893" s="79"/>
      <c r="R893" s="77"/>
    </row>
    <row r="894">
      <c r="A894" s="77"/>
      <c r="B894" s="77"/>
      <c r="C894" s="77"/>
      <c r="D894" s="77"/>
      <c r="E894" s="77"/>
      <c r="F894" s="101"/>
      <c r="G894" s="77"/>
      <c r="H894" s="79"/>
      <c r="I894" s="77"/>
      <c r="J894" s="77"/>
      <c r="K894" s="79"/>
      <c r="L894" s="77"/>
      <c r="M894" s="77"/>
      <c r="N894" s="79"/>
      <c r="O894" s="77"/>
      <c r="P894" s="77"/>
      <c r="Q894" s="79"/>
      <c r="R894" s="77"/>
    </row>
    <row r="895">
      <c r="A895" s="77"/>
      <c r="B895" s="77"/>
      <c r="C895" s="77"/>
      <c r="D895" s="77"/>
      <c r="E895" s="77"/>
      <c r="F895" s="101"/>
      <c r="G895" s="77"/>
      <c r="H895" s="79"/>
      <c r="I895" s="77"/>
      <c r="J895" s="77"/>
      <c r="K895" s="79"/>
      <c r="L895" s="77"/>
      <c r="M895" s="77"/>
      <c r="N895" s="79"/>
      <c r="O895" s="77"/>
      <c r="P895" s="77"/>
      <c r="Q895" s="79"/>
      <c r="R895" s="77"/>
    </row>
    <row r="896">
      <c r="A896" s="77"/>
      <c r="B896" s="77"/>
      <c r="C896" s="77"/>
      <c r="D896" s="77"/>
      <c r="E896" s="77"/>
      <c r="F896" s="101"/>
      <c r="G896" s="77"/>
      <c r="H896" s="79"/>
      <c r="I896" s="77"/>
      <c r="J896" s="77"/>
      <c r="K896" s="79"/>
      <c r="L896" s="77"/>
      <c r="M896" s="77"/>
      <c r="N896" s="79"/>
      <c r="O896" s="77"/>
      <c r="P896" s="77"/>
      <c r="Q896" s="79"/>
      <c r="R896" s="77"/>
    </row>
    <row r="897">
      <c r="A897" s="77"/>
      <c r="B897" s="77"/>
      <c r="C897" s="77"/>
      <c r="D897" s="77"/>
      <c r="E897" s="77"/>
      <c r="F897" s="101"/>
      <c r="G897" s="77"/>
      <c r="H897" s="79"/>
      <c r="I897" s="77"/>
      <c r="J897" s="77"/>
      <c r="K897" s="79"/>
      <c r="L897" s="77"/>
      <c r="M897" s="77"/>
      <c r="N897" s="79"/>
      <c r="O897" s="77"/>
      <c r="P897" s="77"/>
      <c r="Q897" s="79"/>
      <c r="R897" s="77"/>
    </row>
    <row r="898">
      <c r="A898" s="77"/>
      <c r="B898" s="77"/>
      <c r="C898" s="77"/>
      <c r="D898" s="77"/>
      <c r="E898" s="77"/>
      <c r="F898" s="101"/>
      <c r="G898" s="77"/>
      <c r="H898" s="79"/>
      <c r="I898" s="77"/>
      <c r="J898" s="77"/>
      <c r="K898" s="79"/>
      <c r="L898" s="77"/>
      <c r="M898" s="77"/>
      <c r="N898" s="79"/>
      <c r="O898" s="77"/>
      <c r="P898" s="77"/>
      <c r="Q898" s="79"/>
      <c r="R898" s="77"/>
    </row>
    <row r="899">
      <c r="A899" s="77"/>
      <c r="B899" s="77"/>
      <c r="C899" s="77"/>
      <c r="D899" s="77"/>
      <c r="E899" s="77"/>
      <c r="F899" s="101"/>
      <c r="G899" s="77"/>
      <c r="H899" s="79"/>
      <c r="I899" s="77"/>
      <c r="J899" s="77"/>
      <c r="K899" s="79"/>
      <c r="L899" s="77"/>
      <c r="M899" s="77"/>
      <c r="N899" s="79"/>
      <c r="O899" s="77"/>
      <c r="P899" s="77"/>
      <c r="Q899" s="79"/>
      <c r="R899" s="77"/>
    </row>
    <row r="900">
      <c r="A900" s="77"/>
      <c r="B900" s="77"/>
      <c r="C900" s="77"/>
      <c r="D900" s="77"/>
      <c r="E900" s="77"/>
      <c r="F900" s="101"/>
      <c r="G900" s="77"/>
      <c r="H900" s="79"/>
      <c r="I900" s="77"/>
      <c r="J900" s="77"/>
      <c r="K900" s="79"/>
      <c r="L900" s="77"/>
      <c r="M900" s="77"/>
      <c r="N900" s="79"/>
      <c r="O900" s="77"/>
      <c r="P900" s="77"/>
      <c r="Q900" s="79"/>
      <c r="R900" s="77"/>
    </row>
    <row r="901">
      <c r="A901" s="77"/>
      <c r="B901" s="77"/>
      <c r="C901" s="77"/>
      <c r="D901" s="77"/>
      <c r="E901" s="77"/>
      <c r="F901" s="101"/>
      <c r="G901" s="77"/>
      <c r="H901" s="79"/>
      <c r="I901" s="77"/>
      <c r="J901" s="77"/>
      <c r="K901" s="79"/>
      <c r="L901" s="77"/>
      <c r="M901" s="77"/>
      <c r="N901" s="79"/>
      <c r="O901" s="77"/>
      <c r="P901" s="77"/>
      <c r="Q901" s="79"/>
      <c r="R901" s="77"/>
    </row>
    <row r="902">
      <c r="A902" s="77"/>
      <c r="B902" s="77"/>
      <c r="C902" s="77"/>
      <c r="D902" s="77"/>
      <c r="E902" s="77"/>
      <c r="F902" s="101"/>
      <c r="G902" s="77"/>
      <c r="H902" s="79"/>
      <c r="I902" s="77"/>
      <c r="J902" s="77"/>
      <c r="K902" s="79"/>
      <c r="L902" s="77"/>
      <c r="M902" s="77"/>
      <c r="N902" s="79"/>
      <c r="O902" s="77"/>
      <c r="P902" s="77"/>
      <c r="Q902" s="79"/>
      <c r="R902" s="77"/>
    </row>
    <row r="903">
      <c r="A903" s="77"/>
      <c r="B903" s="77"/>
      <c r="C903" s="77"/>
      <c r="D903" s="77"/>
      <c r="E903" s="77"/>
      <c r="F903" s="101"/>
      <c r="G903" s="77"/>
      <c r="H903" s="79"/>
      <c r="I903" s="77"/>
      <c r="J903" s="77"/>
      <c r="K903" s="79"/>
      <c r="L903" s="77"/>
      <c r="M903" s="77"/>
      <c r="N903" s="79"/>
      <c r="O903" s="77"/>
      <c r="P903" s="77"/>
      <c r="Q903" s="79"/>
      <c r="R903" s="77"/>
    </row>
    <row r="904">
      <c r="A904" s="77"/>
      <c r="B904" s="77"/>
      <c r="C904" s="77"/>
      <c r="D904" s="77"/>
      <c r="E904" s="77"/>
      <c r="F904" s="101"/>
      <c r="G904" s="77"/>
      <c r="H904" s="79"/>
      <c r="I904" s="77"/>
      <c r="J904" s="77"/>
      <c r="K904" s="79"/>
      <c r="L904" s="77"/>
      <c r="M904" s="77"/>
      <c r="N904" s="79"/>
      <c r="O904" s="77"/>
      <c r="P904" s="77"/>
      <c r="Q904" s="79"/>
      <c r="R904" s="77"/>
    </row>
    <row r="905">
      <c r="A905" s="77"/>
      <c r="B905" s="77"/>
      <c r="C905" s="77"/>
      <c r="D905" s="77"/>
      <c r="E905" s="77"/>
      <c r="F905" s="101"/>
      <c r="G905" s="77"/>
      <c r="H905" s="79"/>
      <c r="I905" s="77"/>
      <c r="J905" s="77"/>
      <c r="K905" s="79"/>
      <c r="L905" s="77"/>
      <c r="M905" s="77"/>
      <c r="N905" s="79"/>
      <c r="O905" s="77"/>
      <c r="P905" s="77"/>
      <c r="Q905" s="79"/>
      <c r="R905" s="77"/>
    </row>
    <row r="906">
      <c r="A906" s="77"/>
      <c r="B906" s="77"/>
      <c r="C906" s="77"/>
      <c r="D906" s="77"/>
      <c r="E906" s="77"/>
      <c r="F906" s="101"/>
      <c r="G906" s="77"/>
      <c r="H906" s="79"/>
      <c r="I906" s="77"/>
      <c r="J906" s="77"/>
      <c r="K906" s="79"/>
      <c r="L906" s="77"/>
      <c r="M906" s="77"/>
      <c r="N906" s="79"/>
      <c r="O906" s="77"/>
      <c r="P906" s="77"/>
      <c r="Q906" s="79"/>
      <c r="R906" s="77"/>
    </row>
    <row r="907">
      <c r="A907" s="77"/>
      <c r="B907" s="77"/>
      <c r="C907" s="77"/>
      <c r="D907" s="77"/>
      <c r="E907" s="77"/>
      <c r="F907" s="101"/>
      <c r="G907" s="77"/>
      <c r="H907" s="79"/>
      <c r="I907" s="77"/>
      <c r="J907" s="77"/>
      <c r="K907" s="79"/>
      <c r="L907" s="77"/>
      <c r="M907" s="77"/>
      <c r="N907" s="79"/>
      <c r="O907" s="77"/>
      <c r="P907" s="77"/>
      <c r="Q907" s="79"/>
      <c r="R907" s="77"/>
    </row>
    <row r="908">
      <c r="A908" s="77"/>
      <c r="B908" s="77"/>
      <c r="C908" s="77"/>
      <c r="D908" s="77"/>
      <c r="E908" s="77"/>
      <c r="F908" s="101"/>
      <c r="G908" s="77"/>
      <c r="H908" s="79"/>
      <c r="I908" s="77"/>
      <c r="J908" s="77"/>
      <c r="K908" s="79"/>
      <c r="L908" s="77"/>
      <c r="M908" s="77"/>
      <c r="N908" s="79"/>
      <c r="O908" s="77"/>
      <c r="P908" s="77"/>
      <c r="Q908" s="79"/>
      <c r="R908" s="77"/>
    </row>
    <row r="909">
      <c r="A909" s="77"/>
      <c r="B909" s="77"/>
      <c r="C909" s="77"/>
      <c r="D909" s="77"/>
      <c r="E909" s="77"/>
      <c r="F909" s="101"/>
      <c r="G909" s="77"/>
      <c r="H909" s="79"/>
      <c r="I909" s="77"/>
      <c r="J909" s="77"/>
      <c r="K909" s="79"/>
      <c r="L909" s="77"/>
      <c r="M909" s="77"/>
      <c r="N909" s="79"/>
      <c r="O909" s="77"/>
      <c r="P909" s="77"/>
      <c r="Q909" s="79"/>
      <c r="R909" s="77"/>
    </row>
    <row r="910">
      <c r="A910" s="77"/>
      <c r="B910" s="77"/>
      <c r="C910" s="77"/>
      <c r="D910" s="77"/>
      <c r="E910" s="77"/>
      <c r="F910" s="101"/>
      <c r="G910" s="77"/>
      <c r="H910" s="79"/>
      <c r="I910" s="77"/>
      <c r="J910" s="77"/>
      <c r="K910" s="79"/>
      <c r="L910" s="77"/>
      <c r="M910" s="77"/>
      <c r="N910" s="79"/>
      <c r="O910" s="77"/>
      <c r="P910" s="77"/>
      <c r="Q910" s="79"/>
      <c r="R910" s="77"/>
    </row>
    <row r="911">
      <c r="A911" s="77"/>
      <c r="B911" s="77"/>
      <c r="C911" s="77"/>
      <c r="D911" s="77"/>
      <c r="E911" s="77"/>
      <c r="F911" s="101"/>
      <c r="G911" s="77"/>
      <c r="H911" s="79"/>
      <c r="I911" s="77"/>
      <c r="J911" s="77"/>
      <c r="K911" s="79"/>
      <c r="L911" s="77"/>
      <c r="M911" s="77"/>
      <c r="N911" s="79"/>
      <c r="O911" s="77"/>
      <c r="P911" s="77"/>
      <c r="Q911" s="79"/>
      <c r="R911" s="77"/>
    </row>
    <row r="912">
      <c r="A912" s="77"/>
      <c r="B912" s="77"/>
      <c r="C912" s="77"/>
      <c r="D912" s="77"/>
      <c r="E912" s="77"/>
      <c r="F912" s="101"/>
      <c r="G912" s="77"/>
      <c r="H912" s="79"/>
      <c r="I912" s="77"/>
      <c r="J912" s="77"/>
      <c r="K912" s="79"/>
      <c r="L912" s="77"/>
      <c r="M912" s="77"/>
      <c r="N912" s="79"/>
      <c r="O912" s="77"/>
      <c r="P912" s="77"/>
      <c r="Q912" s="79"/>
      <c r="R912" s="77"/>
    </row>
    <row r="913">
      <c r="A913" s="77"/>
      <c r="B913" s="77"/>
      <c r="C913" s="77"/>
      <c r="D913" s="77"/>
      <c r="E913" s="77"/>
      <c r="F913" s="101"/>
      <c r="G913" s="77"/>
      <c r="H913" s="79"/>
      <c r="I913" s="77"/>
      <c r="J913" s="77"/>
      <c r="K913" s="79"/>
      <c r="L913" s="77"/>
      <c r="M913" s="77"/>
      <c r="N913" s="79"/>
      <c r="O913" s="77"/>
      <c r="P913" s="77"/>
      <c r="Q913" s="79"/>
      <c r="R913" s="77"/>
    </row>
    <row r="914">
      <c r="A914" s="77"/>
      <c r="B914" s="77"/>
      <c r="C914" s="77"/>
      <c r="D914" s="77"/>
      <c r="E914" s="77"/>
      <c r="F914" s="101"/>
      <c r="G914" s="77"/>
      <c r="H914" s="79"/>
      <c r="I914" s="77"/>
      <c r="J914" s="77"/>
      <c r="K914" s="79"/>
      <c r="L914" s="77"/>
      <c r="M914" s="77"/>
      <c r="N914" s="79"/>
      <c r="O914" s="77"/>
      <c r="P914" s="77"/>
      <c r="Q914" s="79"/>
      <c r="R914" s="77"/>
    </row>
    <row r="915">
      <c r="A915" s="77"/>
      <c r="B915" s="77"/>
      <c r="C915" s="77"/>
      <c r="D915" s="77"/>
      <c r="E915" s="77"/>
      <c r="F915" s="101"/>
      <c r="G915" s="77"/>
      <c r="H915" s="79"/>
      <c r="I915" s="77"/>
      <c r="J915" s="77"/>
      <c r="K915" s="79"/>
      <c r="L915" s="77"/>
      <c r="M915" s="77"/>
      <c r="N915" s="79"/>
      <c r="O915" s="77"/>
      <c r="P915" s="77"/>
      <c r="Q915" s="79"/>
      <c r="R915" s="77"/>
    </row>
    <row r="916">
      <c r="A916" s="77"/>
      <c r="B916" s="77"/>
      <c r="C916" s="77"/>
      <c r="D916" s="77"/>
      <c r="E916" s="77"/>
      <c r="F916" s="101"/>
      <c r="G916" s="77"/>
      <c r="H916" s="79"/>
      <c r="I916" s="77"/>
      <c r="J916" s="77"/>
      <c r="K916" s="79"/>
      <c r="L916" s="77"/>
      <c r="M916" s="77"/>
      <c r="N916" s="79"/>
      <c r="O916" s="77"/>
      <c r="P916" s="77"/>
      <c r="Q916" s="79"/>
      <c r="R916" s="77"/>
    </row>
    <row r="917">
      <c r="A917" s="77"/>
      <c r="B917" s="77"/>
      <c r="C917" s="77"/>
      <c r="D917" s="77"/>
      <c r="E917" s="77"/>
      <c r="F917" s="101"/>
      <c r="G917" s="77"/>
      <c r="H917" s="79"/>
      <c r="I917" s="77"/>
      <c r="J917" s="77"/>
      <c r="K917" s="79"/>
      <c r="L917" s="77"/>
      <c r="M917" s="77"/>
      <c r="N917" s="79"/>
      <c r="O917" s="77"/>
      <c r="P917" s="77"/>
      <c r="Q917" s="79"/>
      <c r="R917" s="77"/>
    </row>
    <row r="918">
      <c r="A918" s="77"/>
      <c r="B918" s="77"/>
      <c r="C918" s="77"/>
      <c r="D918" s="77"/>
      <c r="E918" s="77"/>
      <c r="F918" s="101"/>
      <c r="G918" s="77"/>
      <c r="H918" s="79"/>
      <c r="I918" s="77"/>
      <c r="J918" s="77"/>
      <c r="K918" s="79"/>
      <c r="L918" s="77"/>
      <c r="M918" s="77"/>
      <c r="N918" s="79"/>
      <c r="O918" s="77"/>
      <c r="P918" s="77"/>
      <c r="Q918" s="79"/>
      <c r="R918" s="77"/>
    </row>
    <row r="919">
      <c r="A919" s="77"/>
      <c r="B919" s="77"/>
      <c r="C919" s="77"/>
      <c r="D919" s="77"/>
      <c r="E919" s="77"/>
      <c r="F919" s="101"/>
      <c r="G919" s="77"/>
      <c r="H919" s="79"/>
      <c r="I919" s="77"/>
      <c r="J919" s="77"/>
      <c r="K919" s="79"/>
      <c r="L919" s="77"/>
      <c r="M919" s="77"/>
      <c r="N919" s="79"/>
      <c r="O919" s="77"/>
      <c r="P919" s="77"/>
      <c r="Q919" s="79"/>
      <c r="R919" s="77"/>
    </row>
    <row r="920">
      <c r="A920" s="77"/>
      <c r="B920" s="77"/>
      <c r="C920" s="77"/>
      <c r="D920" s="77"/>
      <c r="E920" s="77"/>
      <c r="F920" s="101"/>
      <c r="G920" s="77"/>
      <c r="H920" s="79"/>
      <c r="I920" s="77"/>
      <c r="J920" s="77"/>
      <c r="K920" s="79"/>
      <c r="L920" s="77"/>
      <c r="M920" s="77"/>
      <c r="N920" s="79"/>
      <c r="O920" s="77"/>
      <c r="P920" s="77"/>
      <c r="Q920" s="79"/>
      <c r="R920" s="77"/>
    </row>
    <row r="921">
      <c r="A921" s="77"/>
      <c r="B921" s="77"/>
      <c r="C921" s="77"/>
      <c r="D921" s="77"/>
      <c r="E921" s="77"/>
      <c r="F921" s="101"/>
      <c r="G921" s="77"/>
      <c r="H921" s="79"/>
      <c r="I921" s="77"/>
      <c r="J921" s="77"/>
      <c r="K921" s="79"/>
      <c r="L921" s="77"/>
      <c r="M921" s="77"/>
      <c r="N921" s="79"/>
      <c r="O921" s="77"/>
      <c r="P921" s="77"/>
      <c r="Q921" s="79"/>
      <c r="R921" s="77"/>
    </row>
    <row r="922">
      <c r="A922" s="77"/>
      <c r="B922" s="77"/>
      <c r="C922" s="77"/>
      <c r="D922" s="77"/>
      <c r="E922" s="77"/>
      <c r="F922" s="101"/>
      <c r="G922" s="77"/>
      <c r="H922" s="79"/>
      <c r="I922" s="77"/>
      <c r="J922" s="77"/>
      <c r="K922" s="79"/>
      <c r="L922" s="77"/>
      <c r="M922" s="77"/>
      <c r="N922" s="79"/>
      <c r="O922" s="77"/>
      <c r="P922" s="77"/>
      <c r="Q922" s="79"/>
      <c r="R922" s="77"/>
    </row>
    <row r="923">
      <c r="A923" s="77"/>
      <c r="B923" s="77"/>
      <c r="C923" s="77"/>
      <c r="D923" s="77"/>
      <c r="E923" s="77"/>
      <c r="F923" s="101"/>
      <c r="G923" s="77"/>
      <c r="H923" s="79"/>
      <c r="I923" s="77"/>
      <c r="J923" s="77"/>
      <c r="K923" s="79"/>
      <c r="L923" s="77"/>
      <c r="M923" s="77"/>
      <c r="N923" s="79"/>
      <c r="O923" s="77"/>
      <c r="P923" s="77"/>
      <c r="Q923" s="79"/>
      <c r="R923" s="77"/>
    </row>
    <row r="924">
      <c r="A924" s="77"/>
      <c r="B924" s="77"/>
      <c r="C924" s="77"/>
      <c r="D924" s="77"/>
      <c r="E924" s="77"/>
      <c r="F924" s="101"/>
      <c r="G924" s="77"/>
      <c r="H924" s="79"/>
      <c r="I924" s="77"/>
      <c r="J924" s="77"/>
      <c r="K924" s="79"/>
      <c r="L924" s="77"/>
      <c r="M924" s="77"/>
      <c r="N924" s="79"/>
      <c r="O924" s="77"/>
      <c r="P924" s="77"/>
      <c r="Q924" s="79"/>
      <c r="R924" s="77"/>
    </row>
    <row r="925">
      <c r="A925" s="77"/>
      <c r="B925" s="77"/>
      <c r="C925" s="77"/>
      <c r="D925" s="77"/>
      <c r="E925" s="77"/>
      <c r="F925" s="101"/>
      <c r="G925" s="77"/>
      <c r="H925" s="79"/>
      <c r="I925" s="77"/>
      <c r="J925" s="77"/>
      <c r="K925" s="79"/>
      <c r="L925" s="77"/>
      <c r="M925" s="77"/>
      <c r="N925" s="79"/>
      <c r="O925" s="77"/>
      <c r="P925" s="77"/>
      <c r="Q925" s="79"/>
      <c r="R925" s="77"/>
    </row>
    <row r="926">
      <c r="A926" s="77"/>
      <c r="B926" s="77"/>
      <c r="C926" s="77"/>
      <c r="D926" s="77"/>
      <c r="E926" s="77"/>
      <c r="F926" s="101"/>
      <c r="G926" s="77"/>
      <c r="H926" s="79"/>
      <c r="I926" s="77"/>
      <c r="J926" s="77"/>
      <c r="K926" s="79"/>
      <c r="L926" s="77"/>
      <c r="M926" s="77"/>
      <c r="N926" s="79"/>
      <c r="O926" s="77"/>
      <c r="P926" s="77"/>
      <c r="Q926" s="79"/>
      <c r="R926" s="77"/>
    </row>
    <row r="927">
      <c r="A927" s="77"/>
      <c r="B927" s="77"/>
      <c r="C927" s="77"/>
      <c r="D927" s="77"/>
      <c r="E927" s="77"/>
      <c r="F927" s="101"/>
      <c r="G927" s="77"/>
      <c r="H927" s="79"/>
      <c r="I927" s="77"/>
      <c r="J927" s="77"/>
      <c r="K927" s="79"/>
      <c r="L927" s="77"/>
      <c r="M927" s="77"/>
      <c r="N927" s="79"/>
      <c r="O927" s="77"/>
      <c r="P927" s="77"/>
      <c r="Q927" s="79"/>
      <c r="R927" s="77"/>
    </row>
    <row r="928">
      <c r="A928" s="77"/>
      <c r="B928" s="77"/>
      <c r="C928" s="77"/>
      <c r="D928" s="77"/>
      <c r="E928" s="77"/>
      <c r="F928" s="101"/>
      <c r="G928" s="77"/>
      <c r="H928" s="79"/>
      <c r="I928" s="77"/>
      <c r="J928" s="77"/>
      <c r="K928" s="79"/>
      <c r="L928" s="77"/>
      <c r="M928" s="77"/>
      <c r="N928" s="79"/>
      <c r="O928" s="77"/>
      <c r="P928" s="77"/>
      <c r="Q928" s="79"/>
      <c r="R928" s="77"/>
    </row>
    <row r="929">
      <c r="A929" s="77"/>
      <c r="B929" s="77"/>
      <c r="C929" s="77"/>
      <c r="D929" s="77"/>
      <c r="E929" s="77"/>
      <c r="F929" s="101"/>
      <c r="G929" s="77"/>
      <c r="H929" s="79"/>
      <c r="I929" s="77"/>
      <c r="J929" s="77"/>
      <c r="K929" s="79"/>
      <c r="L929" s="77"/>
      <c r="M929" s="77"/>
      <c r="N929" s="79"/>
      <c r="O929" s="77"/>
      <c r="P929" s="77"/>
      <c r="Q929" s="79"/>
      <c r="R929" s="77"/>
    </row>
    <row r="930">
      <c r="A930" s="77"/>
      <c r="B930" s="77"/>
      <c r="C930" s="77"/>
      <c r="D930" s="77"/>
      <c r="E930" s="77"/>
      <c r="F930" s="101"/>
      <c r="G930" s="77"/>
      <c r="H930" s="79"/>
      <c r="I930" s="77"/>
      <c r="J930" s="77"/>
      <c r="K930" s="79"/>
      <c r="L930" s="77"/>
      <c r="M930" s="77"/>
      <c r="N930" s="79"/>
      <c r="O930" s="77"/>
      <c r="P930" s="77"/>
      <c r="Q930" s="79"/>
      <c r="R930" s="77"/>
    </row>
    <row r="931">
      <c r="A931" s="77"/>
      <c r="B931" s="77"/>
      <c r="C931" s="77"/>
      <c r="D931" s="77"/>
      <c r="E931" s="77"/>
      <c r="F931" s="101"/>
      <c r="G931" s="77"/>
      <c r="H931" s="79"/>
      <c r="I931" s="77"/>
      <c r="J931" s="77"/>
      <c r="K931" s="79"/>
      <c r="L931" s="77"/>
      <c r="M931" s="77"/>
      <c r="N931" s="79"/>
      <c r="O931" s="77"/>
      <c r="P931" s="77"/>
      <c r="Q931" s="79"/>
      <c r="R931" s="77"/>
    </row>
    <row r="932">
      <c r="A932" s="77"/>
      <c r="B932" s="77"/>
      <c r="C932" s="77"/>
      <c r="D932" s="77"/>
      <c r="E932" s="77"/>
      <c r="F932" s="101"/>
      <c r="G932" s="77"/>
      <c r="H932" s="79"/>
      <c r="I932" s="77"/>
      <c r="J932" s="77"/>
      <c r="K932" s="79"/>
      <c r="L932" s="77"/>
      <c r="M932" s="77"/>
      <c r="N932" s="79"/>
      <c r="O932" s="77"/>
      <c r="P932" s="77"/>
      <c r="Q932" s="79"/>
      <c r="R932" s="77"/>
    </row>
    <row r="933">
      <c r="A933" s="77"/>
      <c r="B933" s="77"/>
      <c r="C933" s="77"/>
      <c r="D933" s="77"/>
      <c r="E933" s="77"/>
      <c r="F933" s="101"/>
      <c r="G933" s="77"/>
      <c r="H933" s="79"/>
      <c r="I933" s="77"/>
      <c r="J933" s="77"/>
      <c r="K933" s="79"/>
      <c r="L933" s="77"/>
      <c r="M933" s="77"/>
      <c r="N933" s="79"/>
      <c r="O933" s="77"/>
      <c r="P933" s="77"/>
      <c r="Q933" s="79"/>
      <c r="R933" s="77"/>
    </row>
    <row r="934">
      <c r="A934" s="77"/>
      <c r="B934" s="77"/>
      <c r="C934" s="77"/>
      <c r="D934" s="77"/>
      <c r="E934" s="77"/>
      <c r="F934" s="101"/>
      <c r="G934" s="77"/>
      <c r="H934" s="79"/>
      <c r="I934" s="77"/>
      <c r="J934" s="77"/>
      <c r="K934" s="79"/>
      <c r="L934" s="77"/>
      <c r="M934" s="77"/>
      <c r="N934" s="79"/>
      <c r="O934" s="77"/>
      <c r="P934" s="77"/>
      <c r="Q934" s="79"/>
      <c r="R934" s="77"/>
    </row>
    <row r="935">
      <c r="A935" s="77"/>
      <c r="B935" s="77"/>
      <c r="C935" s="77"/>
      <c r="D935" s="77"/>
      <c r="E935" s="77"/>
      <c r="F935" s="101"/>
      <c r="G935" s="77"/>
      <c r="H935" s="79"/>
      <c r="I935" s="77"/>
      <c r="J935" s="77"/>
      <c r="K935" s="79"/>
      <c r="L935" s="77"/>
      <c r="M935" s="77"/>
      <c r="N935" s="79"/>
      <c r="O935" s="77"/>
      <c r="P935" s="77"/>
      <c r="Q935" s="79"/>
      <c r="R935" s="77"/>
    </row>
    <row r="936">
      <c r="A936" s="77"/>
      <c r="B936" s="77"/>
      <c r="C936" s="77"/>
      <c r="D936" s="77"/>
      <c r="E936" s="77"/>
      <c r="F936" s="101"/>
      <c r="G936" s="77"/>
      <c r="H936" s="79"/>
      <c r="I936" s="77"/>
      <c r="J936" s="77"/>
      <c r="K936" s="79"/>
      <c r="L936" s="77"/>
      <c r="M936" s="77"/>
      <c r="N936" s="79"/>
      <c r="O936" s="77"/>
      <c r="P936" s="77"/>
      <c r="Q936" s="79"/>
      <c r="R936" s="77"/>
    </row>
    <row r="937">
      <c r="A937" s="77"/>
      <c r="B937" s="77"/>
      <c r="C937" s="77"/>
      <c r="D937" s="77"/>
      <c r="E937" s="77"/>
      <c r="F937" s="101"/>
      <c r="G937" s="77"/>
      <c r="H937" s="79"/>
      <c r="I937" s="77"/>
      <c r="J937" s="77"/>
      <c r="K937" s="79"/>
      <c r="L937" s="77"/>
      <c r="M937" s="77"/>
      <c r="N937" s="79"/>
      <c r="O937" s="77"/>
      <c r="P937" s="77"/>
      <c r="Q937" s="79"/>
      <c r="R937" s="77"/>
    </row>
    <row r="938">
      <c r="A938" s="77"/>
      <c r="B938" s="77"/>
      <c r="C938" s="77"/>
      <c r="D938" s="77"/>
      <c r="E938" s="77"/>
      <c r="F938" s="101"/>
      <c r="G938" s="77"/>
      <c r="H938" s="79"/>
      <c r="I938" s="77"/>
      <c r="J938" s="77"/>
      <c r="K938" s="79"/>
      <c r="L938" s="77"/>
      <c r="M938" s="77"/>
      <c r="N938" s="79"/>
      <c r="O938" s="77"/>
      <c r="P938" s="77"/>
      <c r="Q938" s="79"/>
      <c r="R938" s="77"/>
    </row>
    <row r="939">
      <c r="A939" s="77"/>
      <c r="B939" s="77"/>
      <c r="C939" s="77"/>
      <c r="D939" s="77"/>
      <c r="E939" s="77"/>
      <c r="F939" s="101"/>
      <c r="G939" s="77"/>
      <c r="H939" s="79"/>
      <c r="I939" s="77"/>
      <c r="J939" s="77"/>
      <c r="K939" s="79"/>
      <c r="L939" s="77"/>
      <c r="M939" s="77"/>
      <c r="N939" s="79"/>
      <c r="O939" s="77"/>
      <c r="P939" s="77"/>
      <c r="Q939" s="79"/>
      <c r="R939" s="77"/>
    </row>
    <row r="940">
      <c r="A940" s="77"/>
      <c r="B940" s="77"/>
      <c r="C940" s="77"/>
      <c r="D940" s="77"/>
      <c r="E940" s="77"/>
      <c r="F940" s="101"/>
      <c r="G940" s="77"/>
      <c r="H940" s="79"/>
      <c r="I940" s="77"/>
      <c r="J940" s="77"/>
      <c r="K940" s="79"/>
      <c r="L940" s="77"/>
      <c r="M940" s="77"/>
      <c r="N940" s="79"/>
      <c r="O940" s="77"/>
      <c r="P940" s="77"/>
      <c r="Q940" s="79"/>
      <c r="R940" s="77"/>
    </row>
    <row r="941">
      <c r="A941" s="77"/>
      <c r="B941" s="77"/>
      <c r="C941" s="77"/>
      <c r="D941" s="77"/>
      <c r="E941" s="77"/>
      <c r="F941" s="101"/>
      <c r="G941" s="77"/>
      <c r="H941" s="79"/>
      <c r="I941" s="77"/>
      <c r="J941" s="77"/>
      <c r="K941" s="79"/>
      <c r="L941" s="77"/>
      <c r="M941" s="77"/>
      <c r="N941" s="79"/>
      <c r="O941" s="77"/>
      <c r="P941" s="77"/>
      <c r="Q941" s="79"/>
      <c r="R941" s="77"/>
    </row>
    <row r="942">
      <c r="A942" s="77"/>
      <c r="B942" s="77"/>
      <c r="C942" s="77"/>
      <c r="D942" s="77"/>
      <c r="E942" s="77"/>
      <c r="F942" s="101"/>
      <c r="G942" s="77"/>
      <c r="H942" s="79"/>
      <c r="I942" s="77"/>
      <c r="J942" s="77"/>
      <c r="K942" s="79"/>
      <c r="L942" s="77"/>
      <c r="M942" s="77"/>
      <c r="N942" s="79"/>
      <c r="O942" s="77"/>
      <c r="P942" s="77"/>
      <c r="Q942" s="79"/>
      <c r="R942" s="77"/>
    </row>
    <row r="943">
      <c r="A943" s="77"/>
      <c r="B943" s="77"/>
      <c r="C943" s="77"/>
      <c r="D943" s="77"/>
      <c r="E943" s="77"/>
      <c r="F943" s="101"/>
      <c r="G943" s="77"/>
      <c r="H943" s="79"/>
      <c r="I943" s="77"/>
      <c r="J943" s="77"/>
      <c r="K943" s="79"/>
      <c r="L943" s="77"/>
      <c r="M943" s="77"/>
      <c r="N943" s="79"/>
      <c r="O943" s="77"/>
      <c r="P943" s="77"/>
      <c r="Q943" s="79"/>
      <c r="R943" s="77"/>
    </row>
    <row r="944">
      <c r="A944" s="77"/>
      <c r="B944" s="77"/>
      <c r="C944" s="77"/>
      <c r="D944" s="77"/>
      <c r="E944" s="77"/>
      <c r="F944" s="101"/>
      <c r="G944" s="77"/>
      <c r="H944" s="79"/>
      <c r="I944" s="77"/>
      <c r="J944" s="77"/>
      <c r="K944" s="79"/>
      <c r="L944" s="77"/>
      <c r="M944" s="77"/>
      <c r="N944" s="79"/>
      <c r="O944" s="77"/>
      <c r="P944" s="77"/>
      <c r="Q944" s="79"/>
      <c r="R944" s="77"/>
    </row>
    <row r="945">
      <c r="A945" s="77"/>
      <c r="B945" s="77"/>
      <c r="C945" s="77"/>
      <c r="D945" s="77"/>
      <c r="E945" s="77"/>
      <c r="F945" s="101"/>
      <c r="G945" s="77"/>
      <c r="H945" s="79"/>
      <c r="I945" s="77"/>
      <c r="J945" s="77"/>
      <c r="K945" s="79"/>
      <c r="L945" s="77"/>
      <c r="M945" s="77"/>
      <c r="N945" s="79"/>
      <c r="O945" s="77"/>
      <c r="P945" s="77"/>
      <c r="Q945" s="79"/>
      <c r="R945" s="77"/>
    </row>
    <row r="946">
      <c r="A946" s="77"/>
      <c r="B946" s="77"/>
      <c r="C946" s="77"/>
      <c r="D946" s="77"/>
      <c r="E946" s="77"/>
      <c r="F946" s="101"/>
      <c r="G946" s="77"/>
      <c r="H946" s="79"/>
      <c r="I946" s="77"/>
      <c r="J946" s="77"/>
      <c r="K946" s="79"/>
      <c r="L946" s="77"/>
      <c r="M946" s="77"/>
      <c r="N946" s="79"/>
      <c r="O946" s="77"/>
      <c r="P946" s="77"/>
      <c r="Q946" s="79"/>
      <c r="R946" s="77"/>
    </row>
    <row r="947">
      <c r="A947" s="77"/>
      <c r="B947" s="77"/>
      <c r="C947" s="77"/>
      <c r="D947" s="77"/>
      <c r="E947" s="77"/>
      <c r="F947" s="101"/>
      <c r="G947" s="77"/>
      <c r="H947" s="79"/>
      <c r="I947" s="77"/>
      <c r="J947" s="77"/>
      <c r="K947" s="79"/>
      <c r="L947" s="77"/>
      <c r="M947" s="77"/>
      <c r="N947" s="79"/>
      <c r="O947" s="77"/>
      <c r="P947" s="77"/>
      <c r="Q947" s="79"/>
      <c r="R947" s="77"/>
    </row>
    <row r="948">
      <c r="A948" s="77"/>
      <c r="B948" s="77"/>
      <c r="C948" s="77"/>
      <c r="D948" s="77"/>
      <c r="E948" s="77"/>
      <c r="F948" s="101"/>
      <c r="G948" s="77"/>
      <c r="H948" s="79"/>
      <c r="I948" s="77"/>
      <c r="J948" s="77"/>
      <c r="K948" s="79"/>
      <c r="L948" s="77"/>
      <c r="M948" s="77"/>
      <c r="N948" s="79"/>
      <c r="O948" s="77"/>
      <c r="P948" s="77"/>
      <c r="Q948" s="79"/>
      <c r="R948" s="77"/>
    </row>
    <row r="949">
      <c r="A949" s="77"/>
      <c r="B949" s="77"/>
      <c r="C949" s="77"/>
      <c r="D949" s="77"/>
      <c r="E949" s="77"/>
      <c r="F949" s="101"/>
      <c r="G949" s="77"/>
      <c r="H949" s="79"/>
      <c r="I949" s="77"/>
      <c r="J949" s="77"/>
      <c r="K949" s="79"/>
      <c r="L949" s="77"/>
      <c r="M949" s="77"/>
      <c r="N949" s="79"/>
      <c r="O949" s="77"/>
      <c r="P949" s="77"/>
      <c r="Q949" s="79"/>
      <c r="R949" s="77"/>
    </row>
    <row r="950">
      <c r="A950" s="77"/>
      <c r="B950" s="77"/>
      <c r="C950" s="77"/>
      <c r="D950" s="77"/>
      <c r="E950" s="77"/>
      <c r="F950" s="101"/>
      <c r="G950" s="77"/>
      <c r="H950" s="79"/>
      <c r="I950" s="77"/>
      <c r="J950" s="77"/>
      <c r="K950" s="79"/>
      <c r="L950" s="77"/>
      <c r="M950" s="77"/>
      <c r="N950" s="79"/>
      <c r="O950" s="77"/>
      <c r="P950" s="77"/>
      <c r="Q950" s="79"/>
      <c r="R950" s="77"/>
    </row>
    <row r="951">
      <c r="A951" s="77"/>
      <c r="B951" s="77"/>
      <c r="C951" s="77"/>
      <c r="D951" s="77"/>
      <c r="E951" s="77"/>
      <c r="F951" s="101"/>
      <c r="G951" s="77"/>
      <c r="H951" s="79"/>
      <c r="I951" s="77"/>
      <c r="J951" s="77"/>
      <c r="K951" s="79"/>
      <c r="L951" s="77"/>
      <c r="M951" s="77"/>
      <c r="N951" s="79"/>
      <c r="O951" s="77"/>
      <c r="P951" s="77"/>
      <c r="Q951" s="79"/>
      <c r="R951" s="77"/>
    </row>
    <row r="952">
      <c r="A952" s="77"/>
      <c r="B952" s="77"/>
      <c r="C952" s="77"/>
      <c r="D952" s="77"/>
      <c r="E952" s="77"/>
      <c r="F952" s="101"/>
      <c r="G952" s="77"/>
      <c r="H952" s="79"/>
      <c r="I952" s="77"/>
      <c r="J952" s="77"/>
      <c r="K952" s="79"/>
      <c r="L952" s="77"/>
      <c r="M952" s="77"/>
      <c r="N952" s="79"/>
      <c r="O952" s="77"/>
      <c r="P952" s="77"/>
      <c r="Q952" s="79"/>
      <c r="R952" s="77"/>
    </row>
    <row r="953">
      <c r="A953" s="77"/>
      <c r="B953" s="77"/>
      <c r="C953" s="77"/>
      <c r="D953" s="77"/>
      <c r="E953" s="77"/>
      <c r="F953" s="101"/>
      <c r="G953" s="77"/>
      <c r="H953" s="79"/>
      <c r="I953" s="77"/>
      <c r="J953" s="77"/>
      <c r="K953" s="79"/>
      <c r="L953" s="77"/>
      <c r="M953" s="77"/>
      <c r="N953" s="79"/>
      <c r="O953" s="77"/>
      <c r="P953" s="77"/>
      <c r="Q953" s="79"/>
      <c r="R953" s="77"/>
    </row>
    <row r="954">
      <c r="A954" s="77"/>
      <c r="B954" s="77"/>
      <c r="C954" s="77"/>
      <c r="D954" s="77"/>
      <c r="E954" s="77"/>
      <c r="F954" s="101"/>
      <c r="G954" s="77"/>
      <c r="H954" s="79"/>
      <c r="I954" s="77"/>
      <c r="J954" s="77"/>
      <c r="K954" s="79"/>
      <c r="L954" s="77"/>
      <c r="M954" s="77"/>
      <c r="N954" s="79"/>
      <c r="O954" s="77"/>
      <c r="P954" s="77"/>
      <c r="Q954" s="79"/>
      <c r="R954" s="77"/>
    </row>
    <row r="955">
      <c r="A955" s="77"/>
      <c r="B955" s="77"/>
      <c r="C955" s="77"/>
      <c r="D955" s="77"/>
      <c r="E955" s="77"/>
      <c r="F955" s="101"/>
      <c r="G955" s="77"/>
      <c r="H955" s="79"/>
      <c r="I955" s="77"/>
      <c r="J955" s="77"/>
      <c r="K955" s="79"/>
      <c r="L955" s="77"/>
      <c r="M955" s="77"/>
      <c r="N955" s="79"/>
      <c r="O955" s="77"/>
      <c r="P955" s="77"/>
      <c r="Q955" s="79"/>
      <c r="R955" s="77"/>
    </row>
    <row r="956">
      <c r="A956" s="77"/>
      <c r="B956" s="77"/>
      <c r="C956" s="77"/>
      <c r="D956" s="77"/>
      <c r="E956" s="77"/>
      <c r="F956" s="101"/>
      <c r="G956" s="77"/>
      <c r="H956" s="79"/>
      <c r="I956" s="77"/>
      <c r="J956" s="77"/>
      <c r="K956" s="79"/>
      <c r="L956" s="77"/>
      <c r="M956" s="77"/>
      <c r="N956" s="79"/>
      <c r="O956" s="77"/>
      <c r="P956" s="77"/>
      <c r="Q956" s="79"/>
      <c r="R956" s="77"/>
    </row>
    <row r="957">
      <c r="A957" s="77"/>
      <c r="B957" s="77"/>
      <c r="C957" s="77"/>
      <c r="D957" s="77"/>
      <c r="E957" s="77"/>
      <c r="F957" s="101"/>
      <c r="G957" s="77"/>
      <c r="H957" s="79"/>
      <c r="I957" s="77"/>
      <c r="J957" s="77"/>
      <c r="K957" s="79"/>
      <c r="L957" s="77"/>
      <c r="M957" s="77"/>
      <c r="N957" s="79"/>
      <c r="O957" s="77"/>
      <c r="P957" s="77"/>
      <c r="Q957" s="79"/>
      <c r="R957" s="77"/>
    </row>
    <row r="958">
      <c r="A958" s="77"/>
      <c r="B958" s="77"/>
      <c r="C958" s="77"/>
      <c r="D958" s="77"/>
      <c r="E958" s="77"/>
      <c r="F958" s="101"/>
      <c r="G958" s="77"/>
      <c r="H958" s="79"/>
      <c r="I958" s="77"/>
      <c r="J958" s="77"/>
      <c r="K958" s="79"/>
      <c r="L958" s="77"/>
      <c r="M958" s="77"/>
      <c r="N958" s="79"/>
      <c r="O958" s="77"/>
      <c r="P958" s="77"/>
      <c r="Q958" s="79"/>
      <c r="R958" s="77"/>
    </row>
    <row r="959">
      <c r="A959" s="77"/>
      <c r="B959" s="77"/>
      <c r="C959" s="77"/>
      <c r="D959" s="77"/>
      <c r="E959" s="77"/>
      <c r="F959" s="101"/>
      <c r="G959" s="77"/>
      <c r="H959" s="79"/>
      <c r="I959" s="77"/>
      <c r="J959" s="77"/>
      <c r="K959" s="79"/>
      <c r="L959" s="77"/>
      <c r="M959" s="77"/>
      <c r="N959" s="79"/>
      <c r="O959" s="77"/>
      <c r="P959" s="77"/>
      <c r="Q959" s="79"/>
      <c r="R959" s="77"/>
    </row>
    <row r="960">
      <c r="A960" s="77"/>
      <c r="B960" s="77"/>
      <c r="C960" s="77"/>
      <c r="D960" s="77"/>
      <c r="E960" s="77"/>
      <c r="F960" s="101"/>
      <c r="G960" s="77"/>
      <c r="H960" s="79"/>
      <c r="I960" s="77"/>
      <c r="J960" s="77"/>
      <c r="K960" s="79"/>
      <c r="L960" s="77"/>
      <c r="M960" s="77"/>
      <c r="N960" s="79"/>
      <c r="O960" s="77"/>
      <c r="P960" s="77"/>
      <c r="Q960" s="79"/>
      <c r="R960" s="77"/>
    </row>
    <row r="961">
      <c r="A961" s="77"/>
      <c r="B961" s="77"/>
      <c r="C961" s="77"/>
      <c r="D961" s="77"/>
      <c r="E961" s="77"/>
      <c r="F961" s="101"/>
      <c r="G961" s="77"/>
      <c r="H961" s="79"/>
      <c r="I961" s="77"/>
      <c r="J961" s="77"/>
      <c r="K961" s="79"/>
      <c r="L961" s="77"/>
      <c r="M961" s="77"/>
      <c r="N961" s="79"/>
      <c r="O961" s="77"/>
      <c r="P961" s="77"/>
      <c r="Q961" s="79"/>
      <c r="R961" s="77"/>
    </row>
    <row r="962">
      <c r="A962" s="77"/>
      <c r="B962" s="77"/>
      <c r="C962" s="77"/>
      <c r="D962" s="77"/>
      <c r="E962" s="77"/>
      <c r="F962" s="101"/>
      <c r="G962" s="77"/>
      <c r="H962" s="79"/>
      <c r="I962" s="77"/>
      <c r="J962" s="77"/>
      <c r="K962" s="79"/>
      <c r="L962" s="77"/>
      <c r="M962" s="77"/>
      <c r="N962" s="79"/>
      <c r="O962" s="77"/>
      <c r="P962" s="77"/>
      <c r="Q962" s="79"/>
      <c r="R962" s="77"/>
    </row>
    <row r="963">
      <c r="A963" s="77"/>
      <c r="B963" s="77"/>
      <c r="C963" s="77"/>
      <c r="D963" s="77"/>
      <c r="E963" s="77"/>
      <c r="F963" s="101"/>
      <c r="G963" s="77"/>
      <c r="H963" s="79"/>
      <c r="I963" s="77"/>
      <c r="J963" s="77"/>
      <c r="K963" s="79"/>
      <c r="L963" s="77"/>
      <c r="M963" s="77"/>
      <c r="N963" s="79"/>
      <c r="O963" s="77"/>
      <c r="P963" s="77"/>
      <c r="Q963" s="79"/>
      <c r="R963" s="77"/>
    </row>
    <row r="964">
      <c r="A964" s="77"/>
      <c r="B964" s="77"/>
      <c r="C964" s="77"/>
      <c r="D964" s="77"/>
      <c r="E964" s="77"/>
      <c r="F964" s="101"/>
      <c r="G964" s="77"/>
      <c r="H964" s="79"/>
      <c r="I964" s="77"/>
      <c r="J964" s="77"/>
      <c r="K964" s="79"/>
      <c r="L964" s="77"/>
      <c r="M964" s="77"/>
      <c r="N964" s="79"/>
      <c r="O964" s="77"/>
      <c r="P964" s="77"/>
      <c r="Q964" s="79"/>
      <c r="R964" s="77"/>
    </row>
    <row r="965">
      <c r="A965" s="77"/>
      <c r="B965" s="77"/>
      <c r="C965" s="77"/>
      <c r="D965" s="77"/>
      <c r="E965" s="77"/>
      <c r="F965" s="101"/>
      <c r="G965" s="77"/>
      <c r="H965" s="79"/>
      <c r="I965" s="77"/>
      <c r="J965" s="77"/>
      <c r="K965" s="79"/>
      <c r="L965" s="77"/>
      <c r="M965" s="77"/>
      <c r="N965" s="79"/>
      <c r="O965" s="77"/>
      <c r="P965" s="77"/>
      <c r="Q965" s="79"/>
      <c r="R965" s="77"/>
    </row>
    <row r="966">
      <c r="A966" s="77"/>
      <c r="B966" s="77"/>
      <c r="C966" s="77"/>
      <c r="D966" s="77"/>
      <c r="E966" s="77"/>
      <c r="F966" s="101"/>
      <c r="G966" s="77"/>
      <c r="H966" s="79"/>
      <c r="I966" s="77"/>
      <c r="J966" s="77"/>
      <c r="K966" s="79"/>
      <c r="L966" s="77"/>
      <c r="M966" s="77"/>
      <c r="N966" s="79"/>
      <c r="O966" s="77"/>
      <c r="P966" s="77"/>
      <c r="Q966" s="79"/>
      <c r="R966" s="77"/>
    </row>
    <row r="967">
      <c r="A967" s="77"/>
      <c r="B967" s="77"/>
      <c r="C967" s="77"/>
      <c r="D967" s="77"/>
      <c r="E967" s="77"/>
      <c r="F967" s="101"/>
      <c r="G967" s="77"/>
      <c r="H967" s="79"/>
      <c r="I967" s="77"/>
      <c r="J967" s="77"/>
      <c r="K967" s="79"/>
      <c r="L967" s="77"/>
      <c r="M967" s="77"/>
      <c r="N967" s="79"/>
      <c r="O967" s="77"/>
      <c r="P967" s="77"/>
      <c r="Q967" s="79"/>
      <c r="R967" s="77"/>
    </row>
    <row r="968">
      <c r="A968" s="77"/>
      <c r="B968" s="77"/>
      <c r="C968" s="77"/>
      <c r="D968" s="77"/>
      <c r="E968" s="77"/>
      <c r="F968" s="101"/>
      <c r="G968" s="77"/>
      <c r="H968" s="79"/>
      <c r="I968" s="77"/>
      <c r="J968" s="77"/>
      <c r="K968" s="79"/>
      <c r="L968" s="77"/>
      <c r="M968" s="77"/>
      <c r="N968" s="79"/>
      <c r="O968" s="77"/>
      <c r="P968" s="77"/>
      <c r="Q968" s="79"/>
      <c r="R968" s="77"/>
    </row>
    <row r="969">
      <c r="A969" s="77"/>
      <c r="B969" s="77"/>
      <c r="C969" s="77"/>
      <c r="D969" s="77"/>
      <c r="E969" s="77"/>
      <c r="F969" s="101"/>
      <c r="G969" s="77"/>
      <c r="H969" s="79"/>
      <c r="I969" s="77"/>
      <c r="J969" s="77"/>
      <c r="K969" s="79"/>
      <c r="L969" s="77"/>
      <c r="M969" s="77"/>
      <c r="N969" s="79"/>
      <c r="O969" s="77"/>
      <c r="P969" s="77"/>
      <c r="Q969" s="79"/>
      <c r="R969" s="77"/>
    </row>
    <row r="970">
      <c r="A970" s="77"/>
      <c r="B970" s="77"/>
      <c r="C970" s="77"/>
      <c r="D970" s="77"/>
      <c r="E970" s="77"/>
      <c r="F970" s="101"/>
      <c r="G970" s="77"/>
      <c r="H970" s="79"/>
      <c r="I970" s="77"/>
      <c r="J970" s="77"/>
      <c r="K970" s="79"/>
      <c r="L970" s="77"/>
      <c r="M970" s="77"/>
      <c r="N970" s="79"/>
      <c r="O970" s="77"/>
      <c r="P970" s="77"/>
      <c r="Q970" s="79"/>
      <c r="R970" s="77"/>
    </row>
    <row r="971">
      <c r="A971" s="77"/>
      <c r="B971" s="77"/>
      <c r="C971" s="77"/>
      <c r="D971" s="77"/>
      <c r="E971" s="77"/>
      <c r="F971" s="101"/>
      <c r="G971" s="77"/>
      <c r="H971" s="79"/>
      <c r="I971" s="77"/>
      <c r="J971" s="77"/>
      <c r="K971" s="79"/>
      <c r="L971" s="77"/>
      <c r="M971" s="77"/>
      <c r="N971" s="79"/>
      <c r="O971" s="77"/>
      <c r="P971" s="77"/>
      <c r="Q971" s="79"/>
      <c r="R971" s="77"/>
    </row>
    <row r="972">
      <c r="A972" s="77"/>
      <c r="B972" s="77"/>
      <c r="C972" s="77"/>
      <c r="D972" s="77"/>
      <c r="E972" s="77"/>
      <c r="F972" s="101"/>
      <c r="G972" s="77"/>
      <c r="H972" s="79"/>
      <c r="I972" s="77"/>
      <c r="J972" s="77"/>
      <c r="K972" s="79"/>
      <c r="L972" s="77"/>
      <c r="M972" s="77"/>
      <c r="N972" s="79"/>
      <c r="O972" s="77"/>
      <c r="P972" s="77"/>
      <c r="Q972" s="79"/>
      <c r="R972" s="77"/>
    </row>
    <row r="973">
      <c r="A973" s="77"/>
      <c r="B973" s="77"/>
      <c r="C973" s="77"/>
      <c r="D973" s="77"/>
      <c r="E973" s="77"/>
      <c r="F973" s="101"/>
      <c r="G973" s="77"/>
      <c r="H973" s="79"/>
      <c r="I973" s="77"/>
      <c r="J973" s="77"/>
      <c r="K973" s="79"/>
      <c r="L973" s="77"/>
      <c r="M973" s="77"/>
      <c r="N973" s="79"/>
      <c r="O973" s="77"/>
      <c r="P973" s="77"/>
      <c r="Q973" s="79"/>
      <c r="R973" s="77"/>
    </row>
    <row r="974">
      <c r="A974" s="77"/>
      <c r="B974" s="77"/>
      <c r="C974" s="77"/>
      <c r="D974" s="77"/>
      <c r="E974" s="77"/>
      <c r="F974" s="101"/>
      <c r="G974" s="77"/>
      <c r="H974" s="79"/>
      <c r="I974" s="77"/>
      <c r="J974" s="77"/>
      <c r="K974" s="79"/>
      <c r="L974" s="77"/>
      <c r="M974" s="77"/>
      <c r="N974" s="79"/>
      <c r="O974" s="77"/>
      <c r="P974" s="77"/>
      <c r="Q974" s="79"/>
      <c r="R974" s="77"/>
    </row>
    <row r="975">
      <c r="A975" s="77"/>
      <c r="B975" s="77"/>
      <c r="C975" s="77"/>
      <c r="D975" s="77"/>
      <c r="E975" s="77"/>
      <c r="F975" s="101"/>
      <c r="G975" s="77"/>
      <c r="H975" s="79"/>
      <c r="I975" s="77"/>
      <c r="J975" s="77"/>
      <c r="K975" s="79"/>
      <c r="L975" s="77"/>
      <c r="M975" s="77"/>
      <c r="N975" s="79"/>
      <c r="O975" s="77"/>
      <c r="P975" s="77"/>
      <c r="Q975" s="79"/>
      <c r="R975" s="77"/>
    </row>
    <row r="976">
      <c r="A976" s="77"/>
      <c r="B976" s="77"/>
      <c r="C976" s="77"/>
      <c r="D976" s="77"/>
      <c r="E976" s="77"/>
      <c r="F976" s="101"/>
      <c r="G976" s="77"/>
      <c r="H976" s="79"/>
      <c r="I976" s="77"/>
      <c r="J976" s="77"/>
      <c r="K976" s="79"/>
      <c r="L976" s="77"/>
      <c r="M976" s="77"/>
      <c r="N976" s="79"/>
      <c r="O976" s="77"/>
      <c r="P976" s="77"/>
      <c r="Q976" s="79"/>
      <c r="R976" s="77"/>
    </row>
    <row r="977">
      <c r="A977" s="77"/>
      <c r="B977" s="77"/>
      <c r="C977" s="77"/>
      <c r="D977" s="77"/>
      <c r="E977" s="77"/>
      <c r="F977" s="101"/>
      <c r="G977" s="77"/>
      <c r="H977" s="79"/>
      <c r="I977" s="77"/>
      <c r="J977" s="77"/>
      <c r="K977" s="79"/>
      <c r="L977" s="77"/>
      <c r="M977" s="77"/>
      <c r="N977" s="79"/>
      <c r="O977" s="77"/>
      <c r="P977" s="77"/>
      <c r="Q977" s="79"/>
      <c r="R977" s="77"/>
    </row>
    <row r="978">
      <c r="A978" s="77"/>
      <c r="B978" s="77"/>
      <c r="C978" s="77"/>
      <c r="D978" s="77"/>
      <c r="E978" s="77"/>
      <c r="F978" s="101"/>
      <c r="G978" s="77"/>
      <c r="H978" s="79"/>
      <c r="I978" s="77"/>
      <c r="J978" s="77"/>
      <c r="K978" s="79"/>
      <c r="L978" s="77"/>
      <c r="M978" s="77"/>
      <c r="N978" s="79"/>
      <c r="O978" s="77"/>
      <c r="P978" s="77"/>
      <c r="Q978" s="79"/>
      <c r="R978" s="77"/>
    </row>
    <row r="979">
      <c r="A979" s="77"/>
      <c r="B979" s="77"/>
      <c r="C979" s="77"/>
      <c r="D979" s="77"/>
      <c r="E979" s="77"/>
      <c r="F979" s="101"/>
      <c r="G979" s="77"/>
      <c r="H979" s="79"/>
      <c r="I979" s="77"/>
      <c r="J979" s="77"/>
      <c r="K979" s="79"/>
      <c r="L979" s="77"/>
      <c r="M979" s="77"/>
      <c r="N979" s="79"/>
      <c r="O979" s="77"/>
      <c r="P979" s="77"/>
      <c r="Q979" s="79"/>
      <c r="R979" s="77"/>
    </row>
    <row r="980">
      <c r="A980" s="77"/>
      <c r="B980" s="77"/>
      <c r="C980" s="77"/>
      <c r="D980" s="77"/>
      <c r="E980" s="77"/>
      <c r="F980" s="101"/>
      <c r="G980" s="77"/>
      <c r="H980" s="79"/>
      <c r="I980" s="77"/>
      <c r="J980" s="77"/>
      <c r="K980" s="79"/>
      <c r="L980" s="77"/>
      <c r="M980" s="77"/>
      <c r="N980" s="79"/>
      <c r="O980" s="77"/>
      <c r="P980" s="77"/>
      <c r="Q980" s="79"/>
      <c r="R980" s="77"/>
    </row>
    <row r="981">
      <c r="A981" s="77"/>
      <c r="B981" s="77"/>
      <c r="C981" s="77"/>
      <c r="D981" s="77"/>
      <c r="E981" s="77"/>
      <c r="F981" s="101"/>
      <c r="G981" s="77"/>
      <c r="H981" s="79"/>
      <c r="I981" s="77"/>
      <c r="J981" s="77"/>
      <c r="K981" s="79"/>
      <c r="L981" s="77"/>
      <c r="M981" s="77"/>
      <c r="N981" s="79"/>
      <c r="O981" s="77"/>
      <c r="P981" s="77"/>
      <c r="Q981" s="79"/>
      <c r="R981" s="77"/>
    </row>
    <row r="982">
      <c r="A982" s="77"/>
      <c r="B982" s="77"/>
      <c r="C982" s="77"/>
      <c r="D982" s="77"/>
      <c r="E982" s="77"/>
      <c r="F982" s="101"/>
      <c r="G982" s="77"/>
      <c r="H982" s="79"/>
      <c r="I982" s="77"/>
      <c r="J982" s="77"/>
      <c r="K982" s="79"/>
      <c r="L982" s="77"/>
      <c r="M982" s="77"/>
      <c r="N982" s="79"/>
      <c r="O982" s="77"/>
      <c r="P982" s="77"/>
      <c r="Q982" s="79"/>
      <c r="R982" s="77"/>
    </row>
    <row r="983">
      <c r="A983" s="77"/>
      <c r="B983" s="77"/>
      <c r="C983" s="77"/>
      <c r="D983" s="77"/>
      <c r="E983" s="77"/>
      <c r="F983" s="101"/>
      <c r="G983" s="77"/>
      <c r="H983" s="79"/>
      <c r="I983" s="77"/>
      <c r="J983" s="77"/>
      <c r="K983" s="79"/>
      <c r="L983" s="77"/>
      <c r="M983" s="77"/>
      <c r="N983" s="79"/>
      <c r="O983" s="77"/>
      <c r="P983" s="77"/>
      <c r="Q983" s="79"/>
      <c r="R983" s="77"/>
    </row>
    <row r="984">
      <c r="A984" s="77"/>
      <c r="B984" s="77"/>
      <c r="C984" s="77"/>
      <c r="D984" s="77"/>
      <c r="E984" s="77"/>
      <c r="F984" s="101"/>
      <c r="G984" s="77"/>
      <c r="H984" s="79"/>
      <c r="I984" s="77"/>
      <c r="J984" s="77"/>
      <c r="K984" s="79"/>
      <c r="L984" s="77"/>
      <c r="M984" s="77"/>
      <c r="N984" s="79"/>
      <c r="O984" s="77"/>
      <c r="P984" s="77"/>
      <c r="Q984" s="79"/>
      <c r="R984" s="77"/>
    </row>
    <row r="985">
      <c r="A985" s="77"/>
      <c r="B985" s="77"/>
      <c r="C985" s="77"/>
      <c r="D985" s="77"/>
      <c r="E985" s="77"/>
      <c r="F985" s="101"/>
      <c r="G985" s="77"/>
      <c r="H985" s="79"/>
      <c r="I985" s="77"/>
      <c r="J985" s="77"/>
      <c r="K985" s="79"/>
      <c r="L985" s="77"/>
      <c r="M985" s="77"/>
      <c r="N985" s="79"/>
      <c r="O985" s="77"/>
      <c r="P985" s="77"/>
      <c r="Q985" s="79"/>
      <c r="R985" s="77"/>
    </row>
    <row r="986">
      <c r="A986" s="77"/>
      <c r="B986" s="77"/>
      <c r="C986" s="77"/>
      <c r="D986" s="77"/>
      <c r="E986" s="77"/>
      <c r="F986" s="101"/>
      <c r="G986" s="77"/>
      <c r="H986" s="79"/>
      <c r="I986" s="77"/>
      <c r="J986" s="77"/>
      <c r="K986" s="79"/>
      <c r="L986" s="77"/>
      <c r="M986" s="77"/>
      <c r="N986" s="79"/>
      <c r="O986" s="77"/>
      <c r="P986" s="77"/>
      <c r="Q986" s="79"/>
      <c r="R986" s="77"/>
    </row>
    <row r="987">
      <c r="A987" s="77"/>
      <c r="B987" s="77"/>
      <c r="C987" s="77"/>
      <c r="D987" s="77"/>
      <c r="E987" s="77"/>
      <c r="F987" s="101"/>
      <c r="G987" s="77"/>
      <c r="H987" s="79"/>
      <c r="I987" s="77"/>
      <c r="J987" s="77"/>
      <c r="K987" s="79"/>
      <c r="L987" s="77"/>
      <c r="M987" s="77"/>
      <c r="N987" s="79"/>
      <c r="O987" s="77"/>
      <c r="P987" s="77"/>
      <c r="Q987" s="79"/>
      <c r="R987" s="77"/>
    </row>
    <row r="988">
      <c r="A988" s="77"/>
      <c r="B988" s="77"/>
      <c r="C988" s="77"/>
      <c r="D988" s="77"/>
      <c r="E988" s="77"/>
      <c r="F988" s="101"/>
      <c r="G988" s="77"/>
      <c r="H988" s="79"/>
      <c r="I988" s="77"/>
      <c r="J988" s="77"/>
      <c r="K988" s="79"/>
      <c r="L988" s="77"/>
      <c r="M988" s="77"/>
      <c r="N988" s="79"/>
      <c r="O988" s="77"/>
      <c r="P988" s="77"/>
      <c r="Q988" s="79"/>
      <c r="R988" s="77"/>
    </row>
    <row r="989">
      <c r="A989" s="77"/>
      <c r="B989" s="77"/>
      <c r="C989" s="77"/>
      <c r="D989" s="77"/>
      <c r="E989" s="77"/>
      <c r="F989" s="101"/>
      <c r="G989" s="77"/>
      <c r="H989" s="79"/>
      <c r="I989" s="77"/>
      <c r="J989" s="77"/>
      <c r="K989" s="79"/>
      <c r="L989" s="77"/>
      <c r="M989" s="77"/>
      <c r="N989" s="79"/>
      <c r="O989" s="77"/>
      <c r="P989" s="77"/>
      <c r="Q989" s="79"/>
      <c r="R989" s="77"/>
    </row>
    <row r="990">
      <c r="A990" s="77"/>
      <c r="B990" s="77"/>
      <c r="C990" s="77"/>
      <c r="D990" s="77"/>
      <c r="E990" s="77"/>
      <c r="F990" s="101"/>
      <c r="G990" s="77"/>
      <c r="H990" s="79"/>
      <c r="I990" s="77"/>
      <c r="J990" s="77"/>
      <c r="K990" s="79"/>
      <c r="L990" s="77"/>
      <c r="M990" s="77"/>
      <c r="N990" s="79"/>
      <c r="O990" s="77"/>
      <c r="P990" s="77"/>
      <c r="Q990" s="79"/>
      <c r="R990" s="77"/>
    </row>
    <row r="991">
      <c r="A991" s="77"/>
      <c r="B991" s="77"/>
      <c r="C991" s="77"/>
      <c r="D991" s="77"/>
      <c r="E991" s="77"/>
      <c r="F991" s="101"/>
      <c r="G991" s="77"/>
      <c r="H991" s="79"/>
      <c r="I991" s="77"/>
      <c r="J991" s="77"/>
      <c r="K991" s="79"/>
      <c r="L991" s="77"/>
      <c r="M991" s="77"/>
      <c r="N991" s="79"/>
      <c r="O991" s="77"/>
      <c r="P991" s="77"/>
      <c r="Q991" s="79"/>
      <c r="R991" s="77"/>
    </row>
    <row r="992">
      <c r="A992" s="77"/>
      <c r="B992" s="77"/>
      <c r="C992" s="77"/>
      <c r="D992" s="77"/>
      <c r="E992" s="77"/>
      <c r="F992" s="101"/>
      <c r="G992" s="77"/>
      <c r="H992" s="79"/>
      <c r="I992" s="77"/>
      <c r="J992" s="77"/>
      <c r="K992" s="79"/>
      <c r="L992" s="77"/>
      <c r="M992" s="77"/>
      <c r="N992" s="79"/>
      <c r="O992" s="77"/>
      <c r="P992" s="77"/>
      <c r="Q992" s="79"/>
      <c r="R992" s="77"/>
    </row>
    <row r="993">
      <c r="A993" s="77"/>
      <c r="B993" s="77"/>
      <c r="C993" s="77"/>
      <c r="D993" s="77"/>
      <c r="E993" s="77"/>
      <c r="F993" s="101"/>
      <c r="G993" s="77"/>
      <c r="H993" s="79"/>
      <c r="I993" s="77"/>
      <c r="J993" s="77"/>
      <c r="K993" s="79"/>
      <c r="L993" s="77"/>
      <c r="M993" s="77"/>
      <c r="N993" s="79"/>
      <c r="O993" s="77"/>
      <c r="P993" s="77"/>
      <c r="Q993" s="79"/>
      <c r="R993" s="77"/>
    </row>
    <row r="994">
      <c r="A994" s="77"/>
      <c r="B994" s="77"/>
      <c r="C994" s="77"/>
      <c r="D994" s="77"/>
      <c r="E994" s="77"/>
      <c r="F994" s="101"/>
      <c r="G994" s="77"/>
      <c r="H994" s="79"/>
      <c r="I994" s="77"/>
      <c r="J994" s="77"/>
      <c r="K994" s="79"/>
      <c r="L994" s="77"/>
      <c r="M994" s="77"/>
      <c r="N994" s="79"/>
      <c r="O994" s="77"/>
      <c r="P994" s="77"/>
      <c r="Q994" s="79"/>
      <c r="R994" s="77"/>
    </row>
    <row r="995">
      <c r="A995" s="77"/>
      <c r="B995" s="77"/>
      <c r="C995" s="77"/>
      <c r="D995" s="77"/>
      <c r="E995" s="77"/>
      <c r="F995" s="101"/>
      <c r="G995" s="77"/>
      <c r="H995" s="79"/>
      <c r="I995" s="77"/>
      <c r="J995" s="77"/>
      <c r="K995" s="79"/>
      <c r="L995" s="77"/>
      <c r="M995" s="77"/>
      <c r="N995" s="79"/>
      <c r="O995" s="77"/>
      <c r="P995" s="77"/>
      <c r="Q995" s="79"/>
      <c r="R995" s="77"/>
    </row>
    <row r="996">
      <c r="A996" s="77"/>
      <c r="B996" s="77"/>
      <c r="C996" s="77"/>
      <c r="D996" s="77"/>
      <c r="E996" s="77"/>
      <c r="F996" s="101"/>
      <c r="G996" s="77"/>
      <c r="H996" s="79"/>
      <c r="I996" s="77"/>
      <c r="J996" s="77"/>
      <c r="K996" s="79"/>
      <c r="L996" s="77"/>
      <c r="M996" s="77"/>
      <c r="N996" s="79"/>
      <c r="O996" s="77"/>
      <c r="P996" s="77"/>
      <c r="Q996" s="79"/>
      <c r="R996" s="77"/>
    </row>
    <row r="997">
      <c r="A997" s="77"/>
      <c r="B997" s="77"/>
      <c r="C997" s="77"/>
      <c r="D997" s="77"/>
      <c r="E997" s="77"/>
      <c r="F997" s="101"/>
      <c r="G997" s="77"/>
      <c r="H997" s="79"/>
      <c r="I997" s="77"/>
      <c r="J997" s="77"/>
      <c r="K997" s="79"/>
      <c r="L997" s="77"/>
      <c r="M997" s="77"/>
      <c r="N997" s="79"/>
      <c r="O997" s="77"/>
      <c r="P997" s="77"/>
      <c r="Q997" s="79"/>
      <c r="R997" s="77"/>
    </row>
    <row r="998">
      <c r="A998" s="77"/>
      <c r="B998" s="77"/>
      <c r="C998" s="77"/>
      <c r="D998" s="77"/>
      <c r="E998" s="77"/>
      <c r="F998" s="101"/>
      <c r="G998" s="77"/>
      <c r="H998" s="79"/>
      <c r="I998" s="77"/>
      <c r="J998" s="77"/>
      <c r="K998" s="79"/>
      <c r="L998" s="77"/>
      <c r="M998" s="77"/>
      <c r="N998" s="79"/>
      <c r="O998" s="77"/>
      <c r="P998" s="77"/>
      <c r="Q998" s="79"/>
      <c r="R998" s="77"/>
    </row>
    <row r="999">
      <c r="A999" s="77"/>
      <c r="B999" s="77"/>
      <c r="C999" s="77"/>
      <c r="D999" s="77"/>
      <c r="E999" s="77"/>
      <c r="F999" s="101"/>
      <c r="G999" s="77"/>
      <c r="H999" s="79"/>
      <c r="I999" s="77"/>
      <c r="J999" s="77"/>
      <c r="K999" s="79"/>
      <c r="L999" s="77"/>
      <c r="M999" s="77"/>
      <c r="N999" s="79"/>
      <c r="O999" s="77"/>
      <c r="P999" s="77"/>
      <c r="Q999" s="79"/>
      <c r="R999" s="77"/>
    </row>
    <row r="1000">
      <c r="A1000" s="77"/>
      <c r="B1000" s="77"/>
      <c r="C1000" s="77"/>
      <c r="D1000" s="77"/>
      <c r="E1000" s="77"/>
      <c r="F1000" s="101"/>
      <c r="G1000" s="77"/>
      <c r="H1000" s="79"/>
      <c r="I1000" s="77"/>
      <c r="J1000" s="77"/>
      <c r="K1000" s="79"/>
      <c r="L1000" s="77"/>
      <c r="M1000" s="77"/>
      <c r="N1000" s="79"/>
      <c r="O1000" s="77"/>
      <c r="P1000" s="77"/>
      <c r="Q1000" s="79"/>
      <c r="R1000" s="77"/>
    </row>
    <row r="1001">
      <c r="A1001" s="77"/>
      <c r="B1001" s="77"/>
      <c r="C1001" s="77"/>
      <c r="D1001" s="77"/>
      <c r="E1001" s="77"/>
      <c r="F1001" s="101"/>
      <c r="G1001" s="77"/>
      <c r="H1001" s="79"/>
      <c r="I1001" s="77"/>
      <c r="J1001" s="77"/>
      <c r="K1001" s="79"/>
      <c r="L1001" s="77"/>
      <c r="M1001" s="77"/>
      <c r="N1001" s="79"/>
      <c r="O1001" s="77"/>
      <c r="P1001" s="77"/>
      <c r="Q1001" s="79"/>
      <c r="R1001" s="77"/>
    </row>
    <row r="1002">
      <c r="A1002" s="77"/>
      <c r="B1002" s="77"/>
      <c r="C1002" s="77"/>
      <c r="D1002" s="77"/>
      <c r="E1002" s="77"/>
      <c r="F1002" s="101"/>
      <c r="G1002" s="77"/>
      <c r="H1002" s="79"/>
      <c r="I1002" s="77"/>
      <c r="J1002" s="77"/>
      <c r="K1002" s="79"/>
      <c r="L1002" s="77"/>
      <c r="M1002" s="77"/>
      <c r="N1002" s="79"/>
      <c r="O1002" s="77"/>
      <c r="P1002" s="77"/>
      <c r="Q1002" s="79"/>
      <c r="R1002" s="77"/>
    </row>
    <row r="1003">
      <c r="A1003" s="77"/>
      <c r="B1003" s="77"/>
      <c r="C1003" s="77"/>
      <c r="D1003" s="77"/>
      <c r="E1003" s="77"/>
      <c r="F1003" s="101"/>
      <c r="G1003" s="77"/>
      <c r="H1003" s="79"/>
      <c r="I1003" s="77"/>
      <c r="J1003" s="77"/>
      <c r="K1003" s="79"/>
      <c r="L1003" s="77"/>
      <c r="M1003" s="77"/>
      <c r="N1003" s="79"/>
      <c r="O1003" s="77"/>
      <c r="P1003" s="77"/>
      <c r="Q1003" s="79"/>
      <c r="R1003" s="77"/>
    </row>
    <row r="1004">
      <c r="A1004" s="77"/>
      <c r="B1004" s="77"/>
      <c r="C1004" s="77"/>
      <c r="D1004" s="77"/>
      <c r="E1004" s="77"/>
      <c r="F1004" s="101"/>
      <c r="G1004" s="77"/>
      <c r="H1004" s="79"/>
      <c r="I1004" s="77"/>
      <c r="J1004" s="77"/>
      <c r="K1004" s="79"/>
      <c r="L1004" s="77"/>
      <c r="M1004" s="77"/>
      <c r="N1004" s="79"/>
      <c r="O1004" s="77"/>
      <c r="P1004" s="77"/>
      <c r="Q1004" s="79"/>
      <c r="R1004" s="77"/>
    </row>
    <row r="1005">
      <c r="A1005" s="77"/>
      <c r="B1005" s="77"/>
      <c r="C1005" s="77"/>
      <c r="D1005" s="77"/>
      <c r="E1005" s="77"/>
      <c r="F1005" s="101"/>
      <c r="G1005" s="77"/>
      <c r="H1005" s="79"/>
      <c r="I1005" s="77"/>
      <c r="J1005" s="77"/>
      <c r="K1005" s="79"/>
      <c r="L1005" s="77"/>
      <c r="M1005" s="77"/>
      <c r="N1005" s="79"/>
      <c r="O1005" s="77"/>
      <c r="P1005" s="77"/>
      <c r="Q1005" s="79"/>
      <c r="R1005" s="77"/>
    </row>
    <row r="1006">
      <c r="A1006" s="77"/>
      <c r="B1006" s="77"/>
      <c r="C1006" s="77"/>
      <c r="D1006" s="77"/>
      <c r="E1006" s="77"/>
      <c r="F1006" s="101"/>
      <c r="G1006" s="77"/>
      <c r="H1006" s="79"/>
      <c r="I1006" s="77"/>
      <c r="J1006" s="77"/>
      <c r="K1006" s="79"/>
      <c r="L1006" s="77"/>
      <c r="M1006" s="77"/>
      <c r="N1006" s="79"/>
      <c r="O1006" s="77"/>
      <c r="P1006" s="77"/>
      <c r="Q1006" s="79"/>
      <c r="R1006" s="77"/>
    </row>
    <row r="1007">
      <c r="A1007" s="77"/>
      <c r="B1007" s="77"/>
      <c r="C1007" s="77"/>
      <c r="D1007" s="77"/>
      <c r="E1007" s="77"/>
      <c r="F1007" s="101"/>
      <c r="G1007" s="77"/>
      <c r="H1007" s="79"/>
      <c r="I1007" s="77"/>
      <c r="J1007" s="77"/>
      <c r="K1007" s="79"/>
      <c r="L1007" s="77"/>
      <c r="M1007" s="77"/>
      <c r="N1007" s="79"/>
      <c r="O1007" s="77"/>
      <c r="P1007" s="77"/>
      <c r="Q1007" s="79"/>
      <c r="R1007" s="77"/>
    </row>
    <row r="1008">
      <c r="A1008" s="77"/>
      <c r="B1008" s="77"/>
      <c r="C1008" s="77"/>
      <c r="D1008" s="77"/>
      <c r="E1008" s="77"/>
      <c r="F1008" s="101"/>
      <c r="G1008" s="77"/>
      <c r="H1008" s="79"/>
      <c r="I1008" s="77"/>
      <c r="J1008" s="77"/>
      <c r="K1008" s="79"/>
      <c r="L1008" s="77"/>
      <c r="M1008" s="77"/>
      <c r="N1008" s="79"/>
      <c r="O1008" s="77"/>
      <c r="P1008" s="77"/>
      <c r="Q1008" s="79"/>
      <c r="R1008" s="77"/>
    </row>
    <row r="1009">
      <c r="A1009" s="77"/>
      <c r="B1009" s="77"/>
      <c r="C1009" s="77"/>
      <c r="D1009" s="77"/>
      <c r="E1009" s="77"/>
      <c r="F1009" s="101"/>
      <c r="G1009" s="77"/>
      <c r="H1009" s="79"/>
      <c r="I1009" s="77"/>
      <c r="J1009" s="77"/>
      <c r="K1009" s="79"/>
      <c r="L1009" s="77"/>
      <c r="M1009" s="77"/>
      <c r="N1009" s="79"/>
      <c r="O1009" s="77"/>
      <c r="P1009" s="77"/>
      <c r="Q1009" s="79"/>
      <c r="R1009" s="77"/>
    </row>
    <row r="1010">
      <c r="A1010" s="77"/>
      <c r="B1010" s="77"/>
      <c r="C1010" s="77"/>
      <c r="D1010" s="77"/>
      <c r="E1010" s="77"/>
      <c r="F1010" s="101"/>
      <c r="G1010" s="77"/>
      <c r="H1010" s="79"/>
      <c r="I1010" s="77"/>
      <c r="J1010" s="77"/>
      <c r="K1010" s="79"/>
      <c r="L1010" s="77"/>
      <c r="M1010" s="77"/>
      <c r="N1010" s="79"/>
      <c r="O1010" s="77"/>
      <c r="P1010" s="77"/>
      <c r="Q1010" s="79"/>
      <c r="R1010" s="77"/>
    </row>
    <row r="1011">
      <c r="A1011" s="77"/>
      <c r="B1011" s="77"/>
      <c r="C1011" s="77"/>
      <c r="D1011" s="77"/>
      <c r="E1011" s="77"/>
      <c r="F1011" s="101"/>
      <c r="G1011" s="77"/>
      <c r="H1011" s="79"/>
      <c r="I1011" s="77"/>
      <c r="J1011" s="77"/>
      <c r="K1011" s="79"/>
      <c r="L1011" s="77"/>
      <c r="M1011" s="77"/>
      <c r="N1011" s="79"/>
      <c r="O1011" s="77"/>
      <c r="P1011" s="77"/>
      <c r="Q1011" s="79"/>
      <c r="R1011" s="77"/>
    </row>
    <row r="1012">
      <c r="A1012" s="77"/>
      <c r="B1012" s="77"/>
      <c r="C1012" s="77"/>
      <c r="D1012" s="77"/>
      <c r="E1012" s="77"/>
      <c r="F1012" s="101"/>
      <c r="G1012" s="77"/>
      <c r="H1012" s="79"/>
      <c r="I1012" s="77"/>
      <c r="J1012" s="77"/>
      <c r="K1012" s="79"/>
      <c r="L1012" s="77"/>
      <c r="M1012" s="77"/>
      <c r="N1012" s="79"/>
      <c r="O1012" s="77"/>
      <c r="P1012" s="77"/>
      <c r="Q1012" s="79"/>
      <c r="R1012" s="77"/>
    </row>
    <row r="1013">
      <c r="A1013" s="77"/>
      <c r="B1013" s="77"/>
      <c r="C1013" s="77"/>
      <c r="D1013" s="77"/>
      <c r="E1013" s="77"/>
      <c r="F1013" s="101"/>
      <c r="G1013" s="77"/>
      <c r="H1013" s="79"/>
      <c r="I1013" s="77"/>
      <c r="J1013" s="77"/>
      <c r="K1013" s="79"/>
      <c r="L1013" s="77"/>
      <c r="M1013" s="77"/>
      <c r="N1013" s="79"/>
      <c r="O1013" s="77"/>
      <c r="P1013" s="77"/>
      <c r="Q1013" s="79"/>
      <c r="R1013" s="77"/>
    </row>
    <row r="1014">
      <c r="A1014" s="77"/>
      <c r="B1014" s="77"/>
      <c r="C1014" s="77"/>
      <c r="D1014" s="77"/>
      <c r="E1014" s="77"/>
      <c r="F1014" s="101"/>
      <c r="G1014" s="77"/>
      <c r="H1014" s="79"/>
      <c r="I1014" s="77"/>
      <c r="J1014" s="77"/>
      <c r="K1014" s="79"/>
      <c r="L1014" s="77"/>
      <c r="M1014" s="77"/>
      <c r="N1014" s="79"/>
      <c r="O1014" s="77"/>
      <c r="P1014" s="77"/>
      <c r="Q1014" s="79"/>
      <c r="R1014" s="77"/>
    </row>
    <row r="1015">
      <c r="A1015" s="77"/>
      <c r="B1015" s="77"/>
      <c r="C1015" s="77"/>
      <c r="D1015" s="77"/>
      <c r="E1015" s="77"/>
      <c r="F1015" s="101"/>
      <c r="G1015" s="77"/>
      <c r="H1015" s="79"/>
      <c r="I1015" s="77"/>
      <c r="J1015" s="77"/>
      <c r="K1015" s="79"/>
      <c r="L1015" s="77"/>
      <c r="M1015" s="77"/>
      <c r="N1015" s="79"/>
      <c r="O1015" s="77"/>
      <c r="P1015" s="77"/>
      <c r="Q1015" s="79"/>
      <c r="R1015" s="77"/>
    </row>
    <row r="1016">
      <c r="A1016" s="77"/>
      <c r="B1016" s="77"/>
      <c r="C1016" s="77"/>
      <c r="D1016" s="77"/>
      <c r="E1016" s="77"/>
      <c r="F1016" s="101"/>
      <c r="G1016" s="77"/>
      <c r="H1016" s="79"/>
      <c r="I1016" s="77"/>
      <c r="J1016" s="77"/>
      <c r="K1016" s="79"/>
      <c r="L1016" s="77"/>
      <c r="M1016" s="77"/>
      <c r="N1016" s="79"/>
      <c r="O1016" s="77"/>
      <c r="P1016" s="77"/>
      <c r="Q1016" s="79"/>
      <c r="R1016" s="77"/>
    </row>
    <row r="1017">
      <c r="A1017" s="77"/>
      <c r="B1017" s="77"/>
      <c r="C1017" s="77"/>
      <c r="D1017" s="77"/>
      <c r="E1017" s="77"/>
      <c r="F1017" s="101"/>
      <c r="G1017" s="77"/>
      <c r="H1017" s="79"/>
      <c r="I1017" s="77"/>
      <c r="J1017" s="77"/>
      <c r="K1017" s="79"/>
      <c r="L1017" s="77"/>
      <c r="M1017" s="77"/>
      <c r="N1017" s="79"/>
      <c r="O1017" s="77"/>
      <c r="P1017" s="77"/>
      <c r="Q1017" s="79"/>
      <c r="R1017" s="77"/>
    </row>
    <row r="1018">
      <c r="A1018" s="77"/>
      <c r="B1018" s="77"/>
      <c r="C1018" s="77"/>
      <c r="D1018" s="77"/>
      <c r="E1018" s="77"/>
      <c r="F1018" s="101"/>
      <c r="G1018" s="77"/>
      <c r="H1018" s="79"/>
      <c r="I1018" s="77"/>
      <c r="J1018" s="77"/>
      <c r="K1018" s="79"/>
      <c r="L1018" s="77"/>
      <c r="M1018" s="77"/>
      <c r="N1018" s="79"/>
      <c r="O1018" s="77"/>
      <c r="P1018" s="77"/>
      <c r="Q1018" s="79"/>
      <c r="R1018" s="77"/>
    </row>
    <row r="1019">
      <c r="A1019" s="77"/>
      <c r="B1019" s="77"/>
      <c r="C1019" s="77"/>
      <c r="D1019" s="77"/>
      <c r="E1019" s="77"/>
      <c r="F1019" s="101"/>
      <c r="G1019" s="77"/>
      <c r="H1019" s="79"/>
      <c r="I1019" s="77"/>
      <c r="J1019" s="77"/>
      <c r="K1019" s="79"/>
      <c r="L1019" s="77"/>
      <c r="M1019" s="77"/>
      <c r="N1019" s="79"/>
      <c r="O1019" s="77"/>
      <c r="P1019" s="77"/>
      <c r="Q1019" s="79"/>
      <c r="R1019" s="77"/>
    </row>
    <row r="1020">
      <c r="A1020" s="77"/>
      <c r="B1020" s="77"/>
      <c r="C1020" s="77"/>
      <c r="D1020" s="77"/>
      <c r="E1020" s="77"/>
      <c r="F1020" s="101"/>
      <c r="G1020" s="77"/>
      <c r="H1020" s="79"/>
      <c r="I1020" s="77"/>
      <c r="J1020" s="77"/>
      <c r="K1020" s="79"/>
      <c r="L1020" s="77"/>
      <c r="M1020" s="77"/>
      <c r="N1020" s="79"/>
      <c r="O1020" s="77"/>
      <c r="P1020" s="77"/>
      <c r="Q1020" s="79"/>
      <c r="R1020" s="77"/>
    </row>
    <row r="1021">
      <c r="A1021" s="77"/>
      <c r="B1021" s="77"/>
      <c r="C1021" s="77"/>
      <c r="D1021" s="77"/>
      <c r="E1021" s="77"/>
      <c r="F1021" s="101"/>
      <c r="G1021" s="77"/>
      <c r="H1021" s="79"/>
      <c r="I1021" s="77"/>
      <c r="J1021" s="77"/>
      <c r="K1021" s="79"/>
      <c r="L1021" s="77"/>
      <c r="M1021" s="77"/>
      <c r="N1021" s="79"/>
      <c r="O1021" s="77"/>
      <c r="P1021" s="77"/>
      <c r="Q1021" s="79"/>
      <c r="R1021" s="77"/>
    </row>
    <row r="1022">
      <c r="A1022" s="77"/>
      <c r="B1022" s="77"/>
      <c r="C1022" s="77"/>
      <c r="D1022" s="77"/>
      <c r="E1022" s="77"/>
      <c r="F1022" s="101"/>
      <c r="G1022" s="77"/>
      <c r="H1022" s="79"/>
      <c r="I1022" s="77"/>
      <c r="J1022" s="77"/>
      <c r="K1022" s="79"/>
      <c r="L1022" s="77"/>
      <c r="M1022" s="77"/>
      <c r="N1022" s="79"/>
      <c r="O1022" s="77"/>
      <c r="P1022" s="77"/>
      <c r="Q1022" s="79"/>
      <c r="R1022" s="77"/>
    </row>
    <row r="1023">
      <c r="A1023" s="77"/>
      <c r="B1023" s="77"/>
      <c r="C1023" s="77"/>
      <c r="D1023" s="77"/>
      <c r="E1023" s="77"/>
      <c r="F1023" s="101"/>
      <c r="G1023" s="77"/>
      <c r="H1023" s="79"/>
      <c r="I1023" s="77"/>
      <c r="J1023" s="77"/>
      <c r="K1023" s="79"/>
      <c r="L1023" s="77"/>
      <c r="M1023" s="77"/>
      <c r="N1023" s="79"/>
      <c r="O1023" s="77"/>
      <c r="P1023" s="77"/>
      <c r="Q1023" s="79"/>
      <c r="R1023" s="77"/>
    </row>
    <row r="1024">
      <c r="A1024" s="77"/>
      <c r="B1024" s="77"/>
      <c r="C1024" s="77"/>
      <c r="D1024" s="77"/>
      <c r="E1024" s="77"/>
      <c r="F1024" s="101"/>
      <c r="G1024" s="77"/>
      <c r="H1024" s="79"/>
      <c r="I1024" s="77"/>
      <c r="J1024" s="77"/>
      <c r="K1024" s="79"/>
      <c r="L1024" s="77"/>
      <c r="M1024" s="77"/>
      <c r="N1024" s="79"/>
      <c r="O1024" s="77"/>
      <c r="P1024" s="77"/>
      <c r="Q1024" s="79"/>
      <c r="R1024" s="77"/>
    </row>
    <row r="1025">
      <c r="A1025" s="77"/>
      <c r="B1025" s="77"/>
      <c r="C1025" s="77"/>
      <c r="D1025" s="77"/>
      <c r="E1025" s="77"/>
      <c r="F1025" s="101"/>
      <c r="G1025" s="77"/>
      <c r="H1025" s="79"/>
      <c r="I1025" s="77"/>
      <c r="J1025" s="77"/>
      <c r="K1025" s="79"/>
      <c r="L1025" s="77"/>
      <c r="M1025" s="77"/>
      <c r="N1025" s="79"/>
      <c r="O1025" s="77"/>
      <c r="P1025" s="77"/>
      <c r="Q1025" s="79"/>
      <c r="R1025" s="77"/>
    </row>
    <row r="1026">
      <c r="A1026" s="77"/>
      <c r="B1026" s="77"/>
      <c r="C1026" s="77"/>
      <c r="D1026" s="77"/>
      <c r="E1026" s="77"/>
      <c r="F1026" s="101"/>
      <c r="G1026" s="77"/>
      <c r="H1026" s="79"/>
      <c r="I1026" s="77"/>
      <c r="J1026" s="77"/>
      <c r="K1026" s="79"/>
      <c r="L1026" s="77"/>
      <c r="M1026" s="77"/>
      <c r="N1026" s="79"/>
      <c r="O1026" s="77"/>
      <c r="P1026" s="77"/>
      <c r="Q1026" s="79"/>
      <c r="R1026" s="77"/>
    </row>
    <row r="1027">
      <c r="A1027" s="77"/>
      <c r="B1027" s="77"/>
      <c r="C1027" s="77"/>
      <c r="D1027" s="77"/>
      <c r="E1027" s="77"/>
      <c r="F1027" s="101"/>
      <c r="G1027" s="77"/>
      <c r="H1027" s="79"/>
      <c r="I1027" s="77"/>
      <c r="J1027" s="77"/>
      <c r="K1027" s="79"/>
      <c r="L1027" s="77"/>
      <c r="M1027" s="77"/>
      <c r="N1027" s="79"/>
      <c r="O1027" s="77"/>
      <c r="P1027" s="77"/>
      <c r="Q1027" s="79"/>
      <c r="R1027" s="77"/>
    </row>
    <row r="1028">
      <c r="A1028" s="77"/>
      <c r="B1028" s="77"/>
      <c r="C1028" s="77"/>
      <c r="D1028" s="77"/>
      <c r="E1028" s="77"/>
      <c r="F1028" s="101"/>
      <c r="G1028" s="77"/>
      <c r="H1028" s="79"/>
      <c r="I1028" s="77"/>
      <c r="J1028" s="77"/>
      <c r="K1028" s="79"/>
      <c r="L1028" s="77"/>
      <c r="M1028" s="77"/>
      <c r="N1028" s="79"/>
      <c r="O1028" s="77"/>
      <c r="P1028" s="77"/>
      <c r="Q1028" s="79"/>
      <c r="R1028" s="77"/>
    </row>
    <row r="1029">
      <c r="A1029" s="77"/>
      <c r="B1029" s="77"/>
      <c r="C1029" s="77"/>
      <c r="D1029" s="77"/>
      <c r="E1029" s="77"/>
      <c r="F1029" s="101"/>
      <c r="G1029" s="77"/>
      <c r="H1029" s="79"/>
      <c r="I1029" s="77"/>
      <c r="J1029" s="77"/>
      <c r="K1029" s="79"/>
      <c r="L1029" s="77"/>
      <c r="M1029" s="77"/>
      <c r="N1029" s="79"/>
      <c r="O1029" s="77"/>
      <c r="P1029" s="77"/>
      <c r="Q1029" s="79"/>
      <c r="R1029" s="77"/>
    </row>
    <row r="1030">
      <c r="A1030" s="77"/>
      <c r="B1030" s="77"/>
      <c r="C1030" s="77"/>
      <c r="D1030" s="77"/>
      <c r="E1030" s="77"/>
      <c r="F1030" s="101"/>
      <c r="G1030" s="77"/>
      <c r="H1030" s="79"/>
      <c r="I1030" s="77"/>
      <c r="J1030" s="77"/>
      <c r="K1030" s="79"/>
      <c r="L1030" s="77"/>
      <c r="M1030" s="77"/>
      <c r="N1030" s="79"/>
      <c r="O1030" s="77"/>
      <c r="P1030" s="77"/>
      <c r="Q1030" s="79"/>
      <c r="R1030" s="77"/>
    </row>
    <row r="1031">
      <c r="A1031" s="77"/>
      <c r="B1031" s="77"/>
      <c r="C1031" s="77"/>
      <c r="D1031" s="77"/>
      <c r="E1031" s="77"/>
      <c r="F1031" s="101"/>
      <c r="G1031" s="77"/>
      <c r="H1031" s="79"/>
      <c r="I1031" s="77"/>
      <c r="J1031" s="77"/>
      <c r="K1031" s="79"/>
      <c r="L1031" s="77"/>
      <c r="M1031" s="77"/>
      <c r="N1031" s="79"/>
      <c r="O1031" s="77"/>
      <c r="P1031" s="77"/>
      <c r="Q1031" s="79"/>
      <c r="R1031" s="77"/>
    </row>
    <row r="1032">
      <c r="A1032" s="77"/>
      <c r="B1032" s="77"/>
      <c r="C1032" s="77"/>
      <c r="D1032" s="77"/>
      <c r="E1032" s="77"/>
      <c r="F1032" s="101"/>
      <c r="G1032" s="77"/>
      <c r="H1032" s="79"/>
      <c r="I1032" s="77"/>
      <c r="J1032" s="77"/>
      <c r="K1032" s="79"/>
      <c r="L1032" s="77"/>
      <c r="M1032" s="77"/>
      <c r="N1032" s="79"/>
      <c r="O1032" s="77"/>
      <c r="P1032" s="77"/>
      <c r="Q1032" s="79"/>
      <c r="R1032" s="77"/>
    </row>
    <row r="1033">
      <c r="A1033" s="77"/>
      <c r="B1033" s="77"/>
      <c r="C1033" s="77"/>
      <c r="D1033" s="77"/>
      <c r="E1033" s="77"/>
      <c r="F1033" s="101"/>
      <c r="G1033" s="77"/>
      <c r="H1033" s="79"/>
      <c r="I1033" s="77"/>
      <c r="J1033" s="77"/>
      <c r="K1033" s="79"/>
      <c r="L1033" s="77"/>
      <c r="M1033" s="77"/>
      <c r="N1033" s="79"/>
      <c r="O1033" s="77"/>
      <c r="P1033" s="77"/>
      <c r="Q1033" s="79"/>
      <c r="R1033" s="77"/>
    </row>
    <row r="1034">
      <c r="A1034" s="77"/>
      <c r="B1034" s="77"/>
      <c r="C1034" s="77"/>
      <c r="D1034" s="77"/>
      <c r="E1034" s="77"/>
      <c r="F1034" s="101"/>
      <c r="G1034" s="77"/>
      <c r="H1034" s="79"/>
      <c r="I1034" s="77"/>
      <c r="J1034" s="77"/>
      <c r="K1034" s="79"/>
      <c r="L1034" s="77"/>
      <c r="M1034" s="77"/>
      <c r="N1034" s="79"/>
      <c r="O1034" s="77"/>
      <c r="P1034" s="77"/>
      <c r="Q1034" s="79"/>
      <c r="R1034" s="77"/>
    </row>
    <row r="1035">
      <c r="A1035" s="77"/>
      <c r="B1035" s="77"/>
      <c r="C1035" s="77"/>
      <c r="D1035" s="77"/>
      <c r="E1035" s="77"/>
      <c r="F1035" s="101"/>
      <c r="G1035" s="77"/>
      <c r="H1035" s="79"/>
      <c r="I1035" s="77"/>
      <c r="J1035" s="77"/>
      <c r="K1035" s="79"/>
      <c r="L1035" s="77"/>
      <c r="M1035" s="77"/>
      <c r="N1035" s="79"/>
      <c r="O1035" s="77"/>
      <c r="P1035" s="77"/>
      <c r="Q1035" s="79"/>
      <c r="R1035" s="77"/>
    </row>
    <row r="1036">
      <c r="A1036" s="77"/>
      <c r="B1036" s="77"/>
      <c r="C1036" s="77"/>
      <c r="D1036" s="77"/>
      <c r="E1036" s="77"/>
      <c r="F1036" s="101"/>
      <c r="G1036" s="77"/>
      <c r="H1036" s="79"/>
      <c r="I1036" s="77"/>
      <c r="J1036" s="77"/>
      <c r="K1036" s="79"/>
      <c r="L1036" s="77"/>
      <c r="M1036" s="77"/>
      <c r="N1036" s="79"/>
      <c r="O1036" s="77"/>
      <c r="P1036" s="77"/>
      <c r="Q1036" s="79"/>
      <c r="R1036" s="77"/>
    </row>
    <row r="1037">
      <c r="A1037" s="77"/>
      <c r="B1037" s="77"/>
      <c r="C1037" s="77"/>
      <c r="D1037" s="77"/>
      <c r="E1037" s="77"/>
      <c r="F1037" s="101"/>
      <c r="G1037" s="77"/>
      <c r="H1037" s="79"/>
      <c r="I1037" s="77"/>
      <c r="J1037" s="77"/>
      <c r="K1037" s="79"/>
      <c r="L1037" s="77"/>
      <c r="M1037" s="77"/>
      <c r="N1037" s="79"/>
      <c r="O1037" s="77"/>
      <c r="P1037" s="77"/>
      <c r="Q1037" s="79"/>
      <c r="R1037" s="77"/>
    </row>
    <row r="1038">
      <c r="A1038" s="77"/>
      <c r="B1038" s="77"/>
      <c r="C1038" s="77"/>
      <c r="D1038" s="77"/>
      <c r="E1038" s="77"/>
      <c r="F1038" s="101"/>
      <c r="G1038" s="77"/>
      <c r="H1038" s="79"/>
      <c r="I1038" s="77"/>
      <c r="J1038" s="77"/>
      <c r="K1038" s="79"/>
      <c r="L1038" s="77"/>
      <c r="M1038" s="77"/>
      <c r="N1038" s="79"/>
      <c r="O1038" s="77"/>
      <c r="P1038" s="77"/>
      <c r="Q1038" s="79"/>
      <c r="R1038" s="77"/>
    </row>
    <row r="1039">
      <c r="A1039" s="77"/>
      <c r="B1039" s="77"/>
      <c r="C1039" s="77"/>
      <c r="D1039" s="77"/>
      <c r="E1039" s="77"/>
      <c r="F1039" s="101"/>
      <c r="G1039" s="77"/>
      <c r="H1039" s="79"/>
      <c r="I1039" s="77"/>
      <c r="J1039" s="77"/>
      <c r="K1039" s="79"/>
      <c r="L1039" s="77"/>
      <c r="M1039" s="77"/>
      <c r="N1039" s="79"/>
      <c r="O1039" s="77"/>
      <c r="P1039" s="77"/>
      <c r="Q1039" s="79"/>
      <c r="R1039" s="77"/>
    </row>
    <row r="1040">
      <c r="A1040" s="77"/>
      <c r="B1040" s="77"/>
      <c r="C1040" s="77"/>
      <c r="D1040" s="77"/>
      <c r="E1040" s="77"/>
      <c r="F1040" s="101"/>
      <c r="G1040" s="77"/>
      <c r="H1040" s="79"/>
      <c r="I1040" s="77"/>
      <c r="J1040" s="77"/>
      <c r="K1040" s="79"/>
      <c r="L1040" s="77"/>
      <c r="M1040" s="77"/>
      <c r="N1040" s="79"/>
      <c r="O1040" s="77"/>
      <c r="P1040" s="77"/>
      <c r="Q1040" s="79"/>
      <c r="R1040" s="77"/>
    </row>
    <row r="1041">
      <c r="A1041" s="77"/>
      <c r="B1041" s="77"/>
      <c r="C1041" s="77"/>
      <c r="D1041" s="77"/>
      <c r="E1041" s="77"/>
      <c r="F1041" s="101"/>
      <c r="G1041" s="77"/>
      <c r="H1041" s="79"/>
      <c r="I1041" s="77"/>
      <c r="J1041" s="77"/>
      <c r="K1041" s="79"/>
      <c r="L1041" s="77"/>
      <c r="M1041" s="77"/>
      <c r="N1041" s="79"/>
      <c r="O1041" s="77"/>
      <c r="P1041" s="77"/>
      <c r="Q1041" s="79"/>
      <c r="R1041" s="77"/>
    </row>
    <row r="1042">
      <c r="A1042" s="77"/>
      <c r="B1042" s="77"/>
      <c r="C1042" s="77"/>
      <c r="D1042" s="77"/>
      <c r="E1042" s="77"/>
      <c r="F1042" s="101"/>
      <c r="G1042" s="77"/>
      <c r="H1042" s="79"/>
      <c r="I1042" s="77"/>
      <c r="J1042" s="77"/>
      <c r="K1042" s="79"/>
      <c r="L1042" s="77"/>
      <c r="M1042" s="77"/>
      <c r="N1042" s="79"/>
      <c r="O1042" s="77"/>
      <c r="P1042" s="77"/>
      <c r="Q1042" s="79"/>
      <c r="R1042" s="77"/>
    </row>
    <row r="1043">
      <c r="A1043" s="77"/>
      <c r="B1043" s="77"/>
      <c r="C1043" s="77"/>
      <c r="D1043" s="77"/>
      <c r="E1043" s="77"/>
      <c r="F1043" s="101"/>
      <c r="G1043" s="77"/>
      <c r="H1043" s="79"/>
      <c r="I1043" s="77"/>
      <c r="J1043" s="77"/>
      <c r="K1043" s="79"/>
      <c r="L1043" s="77"/>
      <c r="M1043" s="77"/>
      <c r="N1043" s="79"/>
      <c r="O1043" s="77"/>
      <c r="P1043" s="77"/>
      <c r="Q1043" s="79"/>
      <c r="R1043" s="77"/>
    </row>
    <row r="1044">
      <c r="A1044" s="77"/>
      <c r="B1044" s="77"/>
      <c r="C1044" s="77"/>
      <c r="D1044" s="77"/>
      <c r="E1044" s="77"/>
      <c r="F1044" s="101"/>
      <c r="G1044" s="77"/>
      <c r="H1044" s="79"/>
      <c r="I1044" s="77"/>
      <c r="J1044" s="77"/>
      <c r="K1044" s="79"/>
      <c r="L1044" s="77"/>
      <c r="M1044" s="77"/>
      <c r="N1044" s="79"/>
      <c r="O1044" s="77"/>
      <c r="P1044" s="77"/>
      <c r="Q1044" s="79"/>
      <c r="R1044" s="77"/>
    </row>
    <row r="1045">
      <c r="A1045" s="77"/>
      <c r="B1045" s="77"/>
      <c r="C1045" s="77"/>
      <c r="D1045" s="77"/>
      <c r="E1045" s="77"/>
      <c r="F1045" s="101"/>
      <c r="G1045" s="77"/>
      <c r="H1045" s="79"/>
      <c r="I1045" s="77"/>
      <c r="J1045" s="77"/>
      <c r="K1045" s="79"/>
      <c r="L1045" s="77"/>
      <c r="M1045" s="77"/>
      <c r="N1045" s="79"/>
      <c r="O1045" s="77"/>
      <c r="P1045" s="77"/>
      <c r="Q1045" s="79"/>
      <c r="R1045" s="77"/>
    </row>
    <row r="1046">
      <c r="A1046" s="77"/>
      <c r="B1046" s="77"/>
      <c r="C1046" s="77"/>
      <c r="D1046" s="77"/>
      <c r="E1046" s="77"/>
      <c r="F1046" s="101"/>
      <c r="G1046" s="77"/>
      <c r="H1046" s="79"/>
      <c r="I1046" s="77"/>
      <c r="J1046" s="77"/>
      <c r="K1046" s="79"/>
      <c r="L1046" s="77"/>
      <c r="M1046" s="77"/>
      <c r="N1046" s="79"/>
      <c r="O1046" s="77"/>
      <c r="P1046" s="77"/>
      <c r="Q1046" s="79"/>
      <c r="R1046" s="77"/>
    </row>
    <row r="1047">
      <c r="A1047" s="77"/>
      <c r="B1047" s="77"/>
      <c r="C1047" s="77"/>
      <c r="D1047" s="77"/>
      <c r="E1047" s="77"/>
      <c r="F1047" s="101"/>
      <c r="G1047" s="77"/>
      <c r="H1047" s="79"/>
      <c r="I1047" s="77"/>
      <c r="J1047" s="77"/>
      <c r="K1047" s="79"/>
      <c r="L1047" s="77"/>
      <c r="M1047" s="77"/>
      <c r="N1047" s="79"/>
      <c r="O1047" s="77"/>
      <c r="P1047" s="77"/>
      <c r="Q1047" s="79"/>
      <c r="R1047" s="77"/>
    </row>
    <row r="1048">
      <c r="A1048" s="77"/>
      <c r="B1048" s="77"/>
      <c r="C1048" s="77"/>
      <c r="D1048" s="77"/>
      <c r="E1048" s="77"/>
      <c r="F1048" s="101"/>
      <c r="G1048" s="77"/>
      <c r="H1048" s="79"/>
      <c r="I1048" s="77"/>
      <c r="J1048" s="77"/>
      <c r="K1048" s="79"/>
      <c r="L1048" s="77"/>
      <c r="M1048" s="77"/>
      <c r="N1048" s="79"/>
      <c r="O1048" s="77"/>
      <c r="P1048" s="77"/>
      <c r="Q1048" s="79"/>
      <c r="R1048" s="77"/>
    </row>
    <row r="1049">
      <c r="A1049" s="77"/>
      <c r="B1049" s="77"/>
      <c r="C1049" s="77"/>
      <c r="D1049" s="77"/>
      <c r="E1049" s="77"/>
      <c r="F1049" s="101"/>
      <c r="G1049" s="77"/>
      <c r="H1049" s="79"/>
      <c r="I1049" s="77"/>
      <c r="J1049" s="77"/>
      <c r="K1049" s="79"/>
      <c r="L1049" s="77"/>
      <c r="M1049" s="77"/>
      <c r="N1049" s="79"/>
      <c r="O1049" s="77"/>
      <c r="P1049" s="77"/>
      <c r="Q1049" s="79"/>
      <c r="R1049" s="77"/>
    </row>
    <row r="1050">
      <c r="A1050" s="77"/>
      <c r="B1050" s="77"/>
      <c r="C1050" s="77"/>
      <c r="D1050" s="77"/>
      <c r="E1050" s="77"/>
      <c r="F1050" s="101"/>
      <c r="G1050" s="77"/>
      <c r="H1050" s="79"/>
      <c r="I1050" s="77"/>
      <c r="J1050" s="77"/>
      <c r="K1050" s="79"/>
      <c r="L1050" s="77"/>
      <c r="M1050" s="77"/>
      <c r="N1050" s="79"/>
      <c r="O1050" s="77"/>
      <c r="P1050" s="77"/>
      <c r="Q1050" s="79"/>
      <c r="R1050" s="77"/>
    </row>
    <row r="1051">
      <c r="A1051" s="77"/>
      <c r="B1051" s="77"/>
      <c r="C1051" s="77"/>
      <c r="D1051" s="77"/>
      <c r="E1051" s="77"/>
      <c r="F1051" s="101"/>
      <c r="G1051" s="77"/>
      <c r="H1051" s="79"/>
      <c r="I1051" s="77"/>
      <c r="J1051" s="77"/>
      <c r="K1051" s="79"/>
      <c r="L1051" s="77"/>
      <c r="M1051" s="77"/>
      <c r="N1051" s="79"/>
      <c r="O1051" s="77"/>
      <c r="P1051" s="77"/>
      <c r="Q1051" s="79"/>
      <c r="R1051" s="77"/>
    </row>
    <row r="1052">
      <c r="A1052" s="77"/>
      <c r="B1052" s="77"/>
      <c r="C1052" s="77"/>
      <c r="D1052" s="77"/>
      <c r="E1052" s="77"/>
      <c r="F1052" s="101"/>
      <c r="G1052" s="77"/>
      <c r="H1052" s="79"/>
      <c r="I1052" s="77"/>
      <c r="J1052" s="77"/>
      <c r="K1052" s="79"/>
      <c r="L1052" s="77"/>
      <c r="M1052" s="77"/>
      <c r="N1052" s="79"/>
      <c r="O1052" s="77"/>
      <c r="P1052" s="77"/>
      <c r="Q1052" s="79"/>
      <c r="R1052" s="77"/>
    </row>
    <row r="1053">
      <c r="A1053" s="77"/>
      <c r="B1053" s="77"/>
      <c r="C1053" s="77"/>
      <c r="D1053" s="77"/>
      <c r="E1053" s="77"/>
      <c r="F1053" s="101"/>
      <c r="G1053" s="77"/>
      <c r="H1053" s="79"/>
      <c r="I1053" s="77"/>
      <c r="J1053" s="77"/>
      <c r="K1053" s="79"/>
      <c r="L1053" s="77"/>
      <c r="M1053" s="77"/>
      <c r="N1053" s="79"/>
      <c r="O1053" s="77"/>
      <c r="P1053" s="77"/>
      <c r="Q1053" s="79"/>
      <c r="R1053" s="77"/>
    </row>
    <row r="1054">
      <c r="A1054" s="77"/>
      <c r="B1054" s="77"/>
      <c r="C1054" s="77"/>
      <c r="D1054" s="77"/>
      <c r="E1054" s="77"/>
      <c r="F1054" s="101"/>
      <c r="G1054" s="77"/>
      <c r="H1054" s="79"/>
      <c r="I1054" s="77"/>
      <c r="J1054" s="77"/>
      <c r="K1054" s="79"/>
      <c r="L1054" s="77"/>
      <c r="M1054" s="77"/>
      <c r="N1054" s="79"/>
      <c r="O1054" s="77"/>
      <c r="P1054" s="77"/>
      <c r="Q1054" s="79"/>
      <c r="R1054" s="77"/>
    </row>
    <row r="1055">
      <c r="A1055" s="77"/>
      <c r="B1055" s="77"/>
      <c r="C1055" s="77"/>
      <c r="D1055" s="77"/>
      <c r="E1055" s="77"/>
      <c r="F1055" s="101"/>
      <c r="G1055" s="77"/>
      <c r="H1055" s="79"/>
      <c r="I1055" s="77"/>
      <c r="J1055" s="77"/>
      <c r="K1055" s="79"/>
      <c r="L1055" s="77"/>
      <c r="M1055" s="77"/>
      <c r="N1055" s="79"/>
      <c r="O1055" s="77"/>
      <c r="P1055" s="77"/>
      <c r="Q1055" s="79"/>
      <c r="R1055" s="77"/>
    </row>
    <row r="1056">
      <c r="A1056" s="77"/>
      <c r="B1056" s="77"/>
      <c r="C1056" s="77"/>
      <c r="D1056" s="77"/>
      <c r="E1056" s="77"/>
      <c r="F1056" s="101"/>
      <c r="G1056" s="77"/>
      <c r="H1056" s="79"/>
      <c r="I1056" s="77"/>
      <c r="J1056" s="77"/>
      <c r="K1056" s="79"/>
      <c r="L1056" s="77"/>
      <c r="M1056" s="77"/>
      <c r="N1056" s="79"/>
      <c r="O1056" s="77"/>
      <c r="P1056" s="77"/>
      <c r="Q1056" s="79"/>
      <c r="R1056" s="77"/>
    </row>
    <row r="1057">
      <c r="A1057" s="77"/>
      <c r="B1057" s="77"/>
      <c r="C1057" s="77"/>
      <c r="D1057" s="77"/>
      <c r="E1057" s="77"/>
      <c r="F1057" s="101"/>
      <c r="G1057" s="77"/>
      <c r="H1057" s="79"/>
      <c r="I1057" s="77"/>
      <c r="J1057" s="77"/>
      <c r="K1057" s="79"/>
      <c r="L1057" s="77"/>
      <c r="M1057" s="77"/>
      <c r="N1057" s="79"/>
      <c r="O1057" s="77"/>
      <c r="P1057" s="77"/>
      <c r="Q1057" s="79"/>
      <c r="R1057" s="77"/>
    </row>
    <row r="1058">
      <c r="A1058" s="77"/>
      <c r="B1058" s="77"/>
      <c r="C1058" s="77"/>
      <c r="D1058" s="77"/>
      <c r="E1058" s="77"/>
      <c r="F1058" s="101"/>
      <c r="G1058" s="77"/>
      <c r="H1058" s="79"/>
      <c r="I1058" s="77"/>
      <c r="J1058" s="77"/>
      <c r="K1058" s="79"/>
      <c r="L1058" s="77"/>
      <c r="M1058" s="77"/>
      <c r="N1058" s="79"/>
      <c r="O1058" s="77"/>
      <c r="P1058" s="77"/>
      <c r="Q1058" s="79"/>
      <c r="R1058" s="77"/>
    </row>
    <row r="1059">
      <c r="A1059" s="77"/>
      <c r="B1059" s="77"/>
      <c r="C1059" s="77"/>
      <c r="D1059" s="77"/>
      <c r="E1059" s="77"/>
      <c r="F1059" s="101"/>
      <c r="G1059" s="77"/>
      <c r="H1059" s="79"/>
      <c r="I1059" s="77"/>
      <c r="J1059" s="77"/>
      <c r="K1059" s="79"/>
      <c r="L1059" s="77"/>
      <c r="M1059" s="77"/>
      <c r="N1059" s="79"/>
      <c r="O1059" s="77"/>
      <c r="P1059" s="77"/>
      <c r="Q1059" s="79"/>
      <c r="R1059" s="77"/>
    </row>
    <row r="1060">
      <c r="A1060" s="77"/>
      <c r="B1060" s="77"/>
      <c r="C1060" s="77"/>
      <c r="D1060" s="77"/>
      <c r="E1060" s="77"/>
      <c r="F1060" s="101"/>
      <c r="G1060" s="77"/>
      <c r="H1060" s="79"/>
      <c r="I1060" s="77"/>
      <c r="J1060" s="77"/>
      <c r="K1060" s="79"/>
      <c r="L1060" s="77"/>
      <c r="M1060" s="77"/>
      <c r="N1060" s="79"/>
      <c r="O1060" s="77"/>
      <c r="P1060" s="77"/>
      <c r="Q1060" s="79"/>
      <c r="R1060" s="77"/>
    </row>
    <row r="1061">
      <c r="A1061" s="77"/>
      <c r="B1061" s="77"/>
      <c r="C1061" s="77"/>
      <c r="D1061" s="77"/>
      <c r="E1061" s="77"/>
      <c r="F1061" s="101"/>
      <c r="G1061" s="77"/>
      <c r="H1061" s="79"/>
      <c r="I1061" s="77"/>
      <c r="J1061" s="77"/>
      <c r="K1061" s="79"/>
      <c r="L1061" s="77"/>
      <c r="M1061" s="77"/>
      <c r="N1061" s="79"/>
      <c r="O1061" s="77"/>
      <c r="P1061" s="77"/>
      <c r="Q1061" s="79"/>
      <c r="R1061" s="77"/>
    </row>
    <row r="1062">
      <c r="A1062" s="77"/>
      <c r="B1062" s="77"/>
      <c r="C1062" s="77"/>
      <c r="D1062" s="77"/>
      <c r="E1062" s="77"/>
      <c r="F1062" s="101"/>
      <c r="G1062" s="77"/>
      <c r="H1062" s="79"/>
      <c r="I1062" s="77"/>
      <c r="J1062" s="77"/>
      <c r="K1062" s="79"/>
      <c r="L1062" s="77"/>
      <c r="M1062" s="77"/>
      <c r="N1062" s="79"/>
      <c r="O1062" s="77"/>
      <c r="P1062" s="77"/>
      <c r="Q1062" s="79"/>
      <c r="R1062" s="77"/>
    </row>
    <row r="1063">
      <c r="A1063" s="77"/>
      <c r="B1063" s="77"/>
      <c r="C1063" s="77"/>
      <c r="D1063" s="77"/>
      <c r="E1063" s="77"/>
      <c r="F1063" s="101"/>
      <c r="G1063" s="77"/>
      <c r="H1063" s="79"/>
      <c r="I1063" s="77"/>
      <c r="J1063" s="77"/>
      <c r="K1063" s="79"/>
      <c r="L1063" s="77"/>
      <c r="M1063" s="77"/>
      <c r="N1063" s="79"/>
      <c r="O1063" s="77"/>
      <c r="P1063" s="77"/>
      <c r="Q1063" s="79"/>
      <c r="R1063" s="77"/>
    </row>
    <row r="1064">
      <c r="A1064" s="77"/>
      <c r="B1064" s="77"/>
      <c r="C1064" s="77"/>
      <c r="D1064" s="77"/>
      <c r="E1064" s="77"/>
      <c r="F1064" s="101"/>
      <c r="G1064" s="77"/>
      <c r="H1064" s="79"/>
      <c r="I1064" s="77"/>
      <c r="J1064" s="77"/>
      <c r="K1064" s="79"/>
      <c r="L1064" s="77"/>
      <c r="M1064" s="77"/>
      <c r="N1064" s="79"/>
      <c r="O1064" s="77"/>
      <c r="P1064" s="77"/>
      <c r="Q1064" s="79"/>
      <c r="R1064" s="77"/>
    </row>
    <row r="1065">
      <c r="A1065" s="77"/>
      <c r="B1065" s="77"/>
      <c r="C1065" s="77"/>
      <c r="D1065" s="77"/>
      <c r="E1065" s="77"/>
      <c r="F1065" s="101"/>
      <c r="G1065" s="77"/>
      <c r="H1065" s="79"/>
      <c r="I1065" s="77"/>
      <c r="J1065" s="77"/>
      <c r="K1065" s="79"/>
      <c r="L1065" s="77"/>
      <c r="M1065" s="77"/>
      <c r="N1065" s="79"/>
      <c r="O1065" s="77"/>
      <c r="P1065" s="77"/>
      <c r="Q1065" s="79"/>
      <c r="R1065" s="77"/>
    </row>
    <row r="1066">
      <c r="A1066" s="77"/>
      <c r="B1066" s="77"/>
      <c r="C1066" s="77"/>
      <c r="D1066" s="77"/>
      <c r="E1066" s="77"/>
      <c r="F1066" s="101"/>
      <c r="G1066" s="77"/>
      <c r="H1066" s="79"/>
      <c r="I1066" s="77"/>
      <c r="J1066" s="77"/>
      <c r="K1066" s="79"/>
      <c r="L1066" s="77"/>
      <c r="M1066" s="77"/>
      <c r="N1066" s="79"/>
      <c r="O1066" s="77"/>
      <c r="P1066" s="77"/>
      <c r="Q1066" s="79"/>
      <c r="R1066" s="77"/>
    </row>
    <row r="1067">
      <c r="A1067" s="77"/>
      <c r="B1067" s="77"/>
      <c r="C1067" s="77"/>
      <c r="D1067" s="77"/>
      <c r="E1067" s="77"/>
      <c r="F1067" s="101"/>
      <c r="G1067" s="77"/>
      <c r="H1067" s="79"/>
      <c r="I1067" s="77"/>
      <c r="J1067" s="77"/>
      <c r="K1067" s="79"/>
      <c r="L1067" s="77"/>
      <c r="M1067" s="77"/>
      <c r="N1067" s="79"/>
      <c r="O1067" s="77"/>
      <c r="P1067" s="77"/>
      <c r="Q1067" s="79"/>
      <c r="R1067" s="77"/>
    </row>
    <row r="1068">
      <c r="A1068" s="77"/>
      <c r="B1068" s="77"/>
      <c r="C1068" s="77"/>
      <c r="D1068" s="77"/>
      <c r="E1068" s="77"/>
      <c r="F1068" s="101"/>
      <c r="G1068" s="77"/>
      <c r="H1068" s="79"/>
      <c r="I1068" s="77"/>
      <c r="J1068" s="77"/>
      <c r="K1068" s="79"/>
      <c r="L1068" s="77"/>
      <c r="M1068" s="77"/>
      <c r="N1068" s="79"/>
      <c r="O1068" s="77"/>
      <c r="P1068" s="77"/>
      <c r="Q1068" s="79"/>
      <c r="R1068" s="77"/>
    </row>
    <row r="1069">
      <c r="A1069" s="77"/>
      <c r="B1069" s="77"/>
      <c r="C1069" s="77"/>
      <c r="D1069" s="77"/>
      <c r="E1069" s="77"/>
      <c r="F1069" s="101"/>
      <c r="G1069" s="77"/>
      <c r="H1069" s="79"/>
      <c r="I1069" s="77"/>
      <c r="J1069" s="77"/>
      <c r="K1069" s="79"/>
      <c r="L1069" s="77"/>
      <c r="M1069" s="77"/>
      <c r="N1069" s="79"/>
      <c r="O1069" s="77"/>
      <c r="P1069" s="77"/>
      <c r="Q1069" s="79"/>
      <c r="R1069" s="77"/>
    </row>
    <row r="1070">
      <c r="A1070" s="77"/>
      <c r="B1070" s="77"/>
      <c r="C1070" s="77"/>
      <c r="D1070" s="77"/>
      <c r="E1070" s="77"/>
      <c r="F1070" s="101"/>
      <c r="G1070" s="77"/>
      <c r="H1070" s="79"/>
      <c r="I1070" s="77"/>
      <c r="J1070" s="77"/>
      <c r="K1070" s="79"/>
      <c r="L1070" s="77"/>
      <c r="M1070" s="77"/>
      <c r="N1070" s="79"/>
      <c r="O1070" s="77"/>
      <c r="P1070" s="77"/>
      <c r="Q1070" s="79"/>
      <c r="R1070" s="77"/>
    </row>
    <row r="1071">
      <c r="A1071" s="77"/>
      <c r="B1071" s="77"/>
      <c r="C1071" s="77"/>
      <c r="D1071" s="77"/>
      <c r="E1071" s="77"/>
      <c r="F1071" s="101"/>
      <c r="G1071" s="77"/>
      <c r="H1071" s="79"/>
      <c r="I1071" s="77"/>
      <c r="J1071" s="77"/>
      <c r="K1071" s="79"/>
      <c r="L1071" s="77"/>
      <c r="M1071" s="77"/>
      <c r="N1071" s="79"/>
      <c r="O1071" s="77"/>
      <c r="P1071" s="77"/>
      <c r="Q1071" s="79"/>
      <c r="R1071" s="77"/>
    </row>
  </sheetData>
  <mergeCells count="5">
    <mergeCell ref="A1:E1"/>
    <mergeCell ref="A2:E2"/>
    <mergeCell ref="A3:E3"/>
    <mergeCell ref="G3:K3"/>
    <mergeCell ref="M3:Q3"/>
  </mergeCells>
  <printOptions/>
  <pageMargins bottom="0.75" footer="0.0" header="0.0" left="0.7" right="0.7" top="0.75"/>
  <pageSetup fitToHeight="0" orientation="portrait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 outlineLevelRow="1"/>
  <cols>
    <col customWidth="1" min="1" max="1" width="72.25"/>
    <col customWidth="1" min="2" max="2" width="17.88"/>
    <col customWidth="1" min="3" max="3" width="17.0"/>
    <col customWidth="1" min="4" max="4" width="16.5"/>
    <col customWidth="1" min="5" max="5" width="17.88"/>
    <col customWidth="1" min="6" max="6" width="10.75"/>
    <col customWidth="1" min="7" max="7" width="20.5"/>
    <col customWidth="1" min="8" max="8" width="10.5"/>
    <col customWidth="1" min="9" max="9" width="3.0"/>
    <col customWidth="1" min="10" max="10" width="13.75"/>
    <col customWidth="1" min="11" max="11" width="7.63"/>
    <col customWidth="1" min="12" max="12" width="3.5"/>
    <col customWidth="1" min="13" max="13" width="13.75"/>
    <col customWidth="1" min="14" max="14" width="7.63"/>
    <col customWidth="1" min="15" max="15" width="3.0"/>
    <col customWidth="1" min="16" max="16" width="13.75"/>
    <col customWidth="1" min="17" max="17" width="33.13"/>
    <col customWidth="1" min="18" max="18" width="47.5"/>
  </cols>
  <sheetData>
    <row r="1" ht="15.75" customHeight="1">
      <c r="A1" s="196" t="s">
        <v>134</v>
      </c>
      <c r="F1" s="197"/>
      <c r="G1" s="197"/>
      <c r="H1" s="198"/>
      <c r="I1" s="197"/>
      <c r="J1" s="197"/>
      <c r="K1" s="198"/>
      <c r="L1" s="197"/>
      <c r="M1" s="197"/>
      <c r="N1" s="198"/>
      <c r="O1" s="197"/>
      <c r="P1" s="197"/>
      <c r="Q1" s="198"/>
      <c r="R1" s="197"/>
    </row>
    <row r="2" ht="15.75" customHeight="1">
      <c r="A2" s="196" t="s">
        <v>135</v>
      </c>
      <c r="F2" s="197"/>
      <c r="G2" s="197"/>
      <c r="H2" s="198"/>
      <c r="I2" s="197"/>
      <c r="J2" s="197"/>
      <c r="K2" s="198"/>
      <c r="L2" s="197"/>
      <c r="M2" s="197"/>
      <c r="N2" s="198"/>
      <c r="O2" s="197"/>
      <c r="P2" s="197"/>
      <c r="Q2" s="198"/>
      <c r="R2" s="197"/>
    </row>
    <row r="3" ht="15.75" customHeight="1">
      <c r="A3" s="199" t="s">
        <v>443</v>
      </c>
      <c r="F3" s="197"/>
      <c r="G3" s="200"/>
      <c r="L3" s="197"/>
      <c r="M3" s="201" t="s">
        <v>253</v>
      </c>
      <c r="N3" s="202"/>
      <c r="O3" s="202"/>
      <c r="P3" s="202"/>
      <c r="Q3" s="203"/>
      <c r="R3" s="197"/>
    </row>
    <row r="4" ht="15.75" customHeight="1">
      <c r="A4" s="204"/>
      <c r="B4" s="205"/>
      <c r="C4" s="205"/>
      <c r="D4" s="205"/>
      <c r="E4" s="197"/>
      <c r="F4" s="197"/>
      <c r="G4" s="206"/>
      <c r="H4" s="88"/>
      <c r="I4" s="197"/>
      <c r="J4" s="206"/>
      <c r="K4" s="207"/>
      <c r="L4" s="197"/>
      <c r="M4" s="206" t="s">
        <v>254</v>
      </c>
      <c r="N4" s="88" t="str">
        <f>(_xludf.DAYS($Q$4,"07/01/2021")+1)/365</f>
        <v>#NAME?</v>
      </c>
      <c r="O4" s="197"/>
      <c r="P4" s="206" t="s">
        <v>255</v>
      </c>
      <c r="Q4" s="207">
        <v>44742.0</v>
      </c>
      <c r="R4" s="197"/>
    </row>
    <row r="5" ht="15.75" customHeight="1">
      <c r="A5" s="208"/>
      <c r="B5" s="90" t="s">
        <v>256</v>
      </c>
      <c r="C5" s="90" t="s">
        <v>257</v>
      </c>
      <c r="D5" s="90" t="s">
        <v>258</v>
      </c>
      <c r="E5" s="90" t="s">
        <v>137</v>
      </c>
      <c r="F5" s="197"/>
      <c r="G5" s="90" t="s">
        <v>252</v>
      </c>
      <c r="H5" s="92" t="s">
        <v>259</v>
      </c>
      <c r="I5" s="197"/>
      <c r="J5" s="209" t="s">
        <v>19</v>
      </c>
      <c r="K5" s="92" t="s">
        <v>259</v>
      </c>
      <c r="L5" s="197"/>
      <c r="M5" s="90" t="s">
        <v>260</v>
      </c>
      <c r="N5" s="92" t="s">
        <v>259</v>
      </c>
      <c r="O5" s="197"/>
      <c r="P5" s="90" t="s">
        <v>19</v>
      </c>
      <c r="Q5" s="92" t="s">
        <v>259</v>
      </c>
      <c r="R5" s="197"/>
    </row>
    <row r="6" ht="15.75" customHeight="1">
      <c r="A6" s="210" t="s">
        <v>138</v>
      </c>
      <c r="B6" s="95"/>
      <c r="C6" s="95"/>
      <c r="D6" s="95"/>
      <c r="E6" s="95"/>
      <c r="F6" s="197"/>
      <c r="G6" s="95"/>
      <c r="H6" s="96"/>
      <c r="I6" s="197"/>
      <c r="J6" s="95"/>
      <c r="K6" s="96"/>
      <c r="L6" s="197"/>
      <c r="M6" s="95"/>
      <c r="N6" s="96"/>
      <c r="O6" s="197"/>
      <c r="P6" s="95"/>
      <c r="Q6" s="96"/>
      <c r="R6" s="197"/>
    </row>
    <row r="7" ht="15.75" customHeight="1">
      <c r="A7" s="210" t="s">
        <v>261</v>
      </c>
      <c r="B7" s="95"/>
      <c r="C7" s="95"/>
      <c r="D7" s="95"/>
      <c r="E7" s="97"/>
      <c r="F7" s="197"/>
      <c r="G7" s="97"/>
      <c r="H7" s="88" t="str">
        <f>IFERROR(E7/G7,"")</f>
        <v/>
      </c>
      <c r="I7" s="197"/>
      <c r="J7" s="97"/>
      <c r="K7" s="88"/>
      <c r="L7" s="197"/>
      <c r="M7" s="97"/>
      <c r="N7" s="88" t="str">
        <f>IFERROR(K7/M7,"")</f>
        <v/>
      </c>
      <c r="O7" s="197"/>
      <c r="P7" s="97"/>
      <c r="Q7" s="88"/>
      <c r="R7" s="197"/>
    </row>
    <row r="8" ht="15.75" customHeight="1">
      <c r="A8" s="211" t="s">
        <v>262</v>
      </c>
      <c r="B8" s="212">
        <v>56458.58</v>
      </c>
      <c r="C8" s="212"/>
      <c r="D8" s="213"/>
      <c r="E8" s="212">
        <f t="shared" ref="E8:E16" si="1">SUM(B8:D8)</f>
        <v>56458.58</v>
      </c>
      <c r="F8" s="214" t="str">
        <f t="shared" ref="F8:F19" si="2">LEFT(TRIM(A8),9)</f>
        <v>0000-5113</v>
      </c>
      <c r="G8" s="106">
        <v>644547.0</v>
      </c>
      <c r="H8" s="102">
        <f t="shared" ref="H8:H17" si="3">IFERROR($E8/G8,"")</f>
        <v>0.08759420182</v>
      </c>
      <c r="I8" s="197"/>
      <c r="J8" s="215">
        <f>IFERROR(__xludf.DUMMYFUNCTION("IFERROR(SUMPRODUCT(FILTER('FY22 Budget'!$F$2:$AC$71,'FY22 Budget'!$C$2:$C$71=$F8),'FY22 Budget'!$F$1:$AC$1&lt;=$K$4),"""")"),0.0)</f>
        <v>0</v>
      </c>
      <c r="K8" s="216" t="str">
        <f t="shared" ref="K8:K17" si="4">IFERROR($E8/J8,"")</f>
        <v/>
      </c>
      <c r="L8" s="204"/>
      <c r="M8" s="215" t="str">
        <f>_xludf.IFNA(VLOOKUP($F8,'FY22 Budget Update'!$C:$E,3,FALSE),0)</f>
        <v>#NAME?</v>
      </c>
      <c r="N8" s="216" t="str">
        <f>IFERROR($E8/M8,"")</f>
        <v/>
      </c>
      <c r="O8" s="197"/>
      <c r="P8" s="106">
        <f>IFERROR(__xludf.DUMMYFUNCTION("IFERROR(SUMPRODUCT(FILTER('FY22 Budget Update'!$F$2:$AC$72,'FY22 Budget Update'!$C$2:$C$72=$F8),'FY22 Budget Update'!$F$1:$AC$1&lt;=$K$4),"""")"),0.0)</f>
        <v>0</v>
      </c>
      <c r="Q8" s="102" t="str">
        <f t="shared" ref="Q8:Q17" si="5">IFERROR($E8/P8,"")</f>
        <v/>
      </c>
      <c r="R8" s="197"/>
    </row>
    <row r="9" ht="15.75" customHeight="1">
      <c r="A9" s="211" t="s">
        <v>263</v>
      </c>
      <c r="B9" s="212"/>
      <c r="C9" s="212"/>
      <c r="D9" s="213"/>
      <c r="E9" s="212">
        <f t="shared" si="1"/>
        <v>0</v>
      </c>
      <c r="F9" s="214" t="str">
        <f t="shared" si="2"/>
        <v>0000-5141</v>
      </c>
      <c r="G9" s="106"/>
      <c r="H9" s="102" t="str">
        <f t="shared" si="3"/>
        <v/>
      </c>
      <c r="I9" s="197"/>
      <c r="J9" s="215" t="str">
        <f>IFERROR(__xludf.DUMMYFUNCTION("IFERROR(SUMPRODUCT(FILTER('FY22 Budget'!$F$2:$AC$71,'FY22 Budget'!$C$2:$C$71=$F9),'FY22 Budget'!$F$1:$AC$1&lt;=$K$4),"""")"),"")</f>
        <v/>
      </c>
      <c r="K9" s="216" t="str">
        <f t="shared" si="4"/>
        <v/>
      </c>
      <c r="L9" s="204"/>
      <c r="M9" s="215" t="str">
        <f>_xludf.IFNA(VLOOKUP($F9,'FY22 Budget Update'!$C:$E,3,FALSE),0)</f>
        <v>#NAME?</v>
      </c>
      <c r="N9" s="216" t="str">
        <f>IFERROR(K9/M9,"")</f>
        <v/>
      </c>
      <c r="O9" s="197"/>
      <c r="P9" s="106" t="str">
        <f>IFERROR(__xludf.DUMMYFUNCTION("IFERROR(SUMPRODUCT(FILTER('FY22 Budget Update'!$F$2:$AC$72,'FY22 Budget Update'!$C$2:$C$72=$F9),'FY22 Budget Update'!$F$1:$AC$1&lt;=$K$4),"""")"),"")</f>
        <v/>
      </c>
      <c r="Q9" s="102" t="str">
        <f t="shared" si="5"/>
        <v/>
      </c>
      <c r="R9" s="197"/>
    </row>
    <row r="10" ht="15.75" customHeight="1">
      <c r="A10" s="211" t="s">
        <v>264</v>
      </c>
      <c r="B10" s="212"/>
      <c r="C10" s="212"/>
      <c r="D10" s="213"/>
      <c r="E10" s="212">
        <f t="shared" si="1"/>
        <v>0</v>
      </c>
      <c r="F10" s="214" t="str">
        <f t="shared" si="2"/>
        <v>0000-5151</v>
      </c>
      <c r="G10" s="106">
        <v>32821.0</v>
      </c>
      <c r="H10" s="102">
        <f t="shared" si="3"/>
        <v>0</v>
      </c>
      <c r="I10" s="197"/>
      <c r="J10" s="215">
        <f>IFERROR(__xludf.DUMMYFUNCTION("IFERROR(SUMPRODUCT(FILTER('FY22 Budget'!$F$2:$AC$71,'FY22 Budget'!$C$2:$C$71=$F10),'FY22 Budget'!$F$1:$AC$1&lt;=$K$4),"""")"),0.0)</f>
        <v>0</v>
      </c>
      <c r="K10" s="216" t="str">
        <f t="shared" si="4"/>
        <v/>
      </c>
      <c r="L10" s="204"/>
      <c r="M10" s="215" t="str">
        <f>_xludf.IFNA(VLOOKUP($F10,'FY22 Budget Update'!$C:$E,3,FALSE),0)</f>
        <v>#NAME?</v>
      </c>
      <c r="N10" s="216" t="str">
        <f>IFERROR($E10/M10,"")</f>
        <v/>
      </c>
      <c r="O10" s="197"/>
      <c r="P10" s="106">
        <f>IFERROR(__xludf.DUMMYFUNCTION("IFERROR(SUMPRODUCT(FILTER('FY22 Budget Update'!$F$2:$AC$72,'FY22 Budget Update'!$C$2:$C$72=$F10),'FY22 Budget Update'!$F$1:$AC$1&lt;=$K$4),"""")"),0.0)</f>
        <v>0</v>
      </c>
      <c r="Q10" s="102" t="str">
        <f t="shared" si="5"/>
        <v/>
      </c>
      <c r="R10" s="197"/>
    </row>
    <row r="11" ht="15.75" customHeight="1">
      <c r="A11" s="211" t="s">
        <v>265</v>
      </c>
      <c r="B11" s="212"/>
      <c r="C11" s="212"/>
      <c r="D11" s="213"/>
      <c r="E11" s="212">
        <f t="shared" si="1"/>
        <v>0</v>
      </c>
      <c r="F11" s="214" t="str">
        <f t="shared" si="2"/>
        <v>0000-5161</v>
      </c>
      <c r="G11" s="106"/>
      <c r="H11" s="102" t="str">
        <f t="shared" si="3"/>
        <v/>
      </c>
      <c r="I11" s="197"/>
      <c r="J11" s="215" t="str">
        <f>IFERROR(__xludf.DUMMYFUNCTION("IFERROR(SUMPRODUCT(FILTER('FY22 Budget'!$F$2:$AC$71,'FY22 Budget'!$C$2:$C$71=$F11),'FY22 Budget'!$F$1:$AC$1&lt;=$K$4),"""")"),"")</f>
        <v/>
      </c>
      <c r="K11" s="216" t="str">
        <f t="shared" si="4"/>
        <v/>
      </c>
      <c r="L11" s="204"/>
      <c r="M11" s="215" t="str">
        <f>_xludf.IFNA(VLOOKUP($F11,'FY22 Budget Update'!$C:$E,3,FALSE),0)</f>
        <v>#NAME?</v>
      </c>
      <c r="N11" s="216" t="str">
        <f>IFERROR(K11/M11,"")</f>
        <v/>
      </c>
      <c r="O11" s="197"/>
      <c r="P11" s="106" t="str">
        <f>IFERROR(__xludf.DUMMYFUNCTION("IFERROR(SUMPRODUCT(FILTER('FY22 Budget Update'!$F$2:$AC$72,'FY22 Budget Update'!$C$2:$C$72=$F11),'FY22 Budget Update'!$F$1:$AC$1&lt;=$K$4),"""")"),"")</f>
        <v/>
      </c>
      <c r="Q11" s="102" t="str">
        <f t="shared" si="5"/>
        <v/>
      </c>
      <c r="R11" s="197"/>
    </row>
    <row r="12" ht="15.75" customHeight="1">
      <c r="A12" s="211" t="s">
        <v>266</v>
      </c>
      <c r="B12" s="212"/>
      <c r="C12" s="212"/>
      <c r="D12" s="213"/>
      <c r="E12" s="212">
        <f t="shared" si="1"/>
        <v>0</v>
      </c>
      <c r="F12" s="214" t="str">
        <f t="shared" si="2"/>
        <v>0000-5171</v>
      </c>
      <c r="G12" s="106">
        <v>0.0</v>
      </c>
      <c r="H12" s="102" t="str">
        <f t="shared" si="3"/>
        <v/>
      </c>
      <c r="I12" s="197"/>
      <c r="J12" s="215">
        <f>IFERROR(__xludf.DUMMYFUNCTION("IFERROR(SUMPRODUCT(FILTER('FY22 Budget'!$F$2:$AC$71,'FY22 Budget'!$C$2:$C$71=$F12),'FY22 Budget'!$F$1:$AC$1&lt;=$K$4),"""")"),0.0)</f>
        <v>0</v>
      </c>
      <c r="K12" s="216" t="str">
        <f t="shared" si="4"/>
        <v/>
      </c>
      <c r="L12" s="204"/>
      <c r="M12" s="215" t="str">
        <f>_xludf.IFNA(VLOOKUP($F12,'FY22 Budget Update'!$C:$E,3,FALSE),0)</f>
        <v>#NAME?</v>
      </c>
      <c r="N12" s="216" t="str">
        <f>IFERROR($E12/M12,"")</f>
        <v/>
      </c>
      <c r="O12" s="197"/>
      <c r="P12" s="106">
        <f>IFERROR(__xludf.DUMMYFUNCTION("IFERROR(SUMPRODUCT(FILTER('FY22 Budget Update'!$F$2:$AC$72,'FY22 Budget Update'!$C$2:$C$72=$F12),'FY22 Budget Update'!$F$1:$AC$1&lt;=$K$4),"""")"),0.0)</f>
        <v>0</v>
      </c>
      <c r="Q12" s="102" t="str">
        <f t="shared" si="5"/>
        <v/>
      </c>
      <c r="R12" s="197"/>
    </row>
    <row r="13" ht="15.75" customHeight="1">
      <c r="A13" s="211" t="s">
        <v>267</v>
      </c>
      <c r="B13" s="212"/>
      <c r="C13" s="212"/>
      <c r="D13" s="217"/>
      <c r="E13" s="212">
        <f t="shared" si="1"/>
        <v>0</v>
      </c>
      <c r="F13" s="214" t="str">
        <f t="shared" si="2"/>
        <v>0000-5172</v>
      </c>
      <c r="G13" s="106"/>
      <c r="H13" s="102" t="str">
        <f t="shared" si="3"/>
        <v/>
      </c>
      <c r="I13" s="197"/>
      <c r="J13" s="215" t="str">
        <f>IFERROR(__xludf.DUMMYFUNCTION("IFERROR(SUMPRODUCT(FILTER('FY22 Budget'!$F$2:$AC$71,'FY22 Budget'!$C$2:$C$71=$F13),'FY22 Budget'!$F$1:$AC$1&lt;=$K$4),"""")"),"")</f>
        <v/>
      </c>
      <c r="K13" s="216" t="str">
        <f t="shared" si="4"/>
        <v/>
      </c>
      <c r="L13" s="204"/>
      <c r="M13" s="215" t="str">
        <f>_xludf.IFNA(VLOOKUP($F13,'FY22 Budget Update'!$C:$E,3,FALSE),0)</f>
        <v>#NAME?</v>
      </c>
      <c r="N13" s="216" t="str">
        <f t="shared" ref="N13:N14" si="6">IFERROR(K13/M13,"")</f>
        <v/>
      </c>
      <c r="O13" s="197"/>
      <c r="P13" s="106" t="str">
        <f>IFERROR(__xludf.DUMMYFUNCTION("IFERROR(SUMPRODUCT(FILTER('FY22 Budget Update'!$F$2:$AC$72,'FY22 Budget Update'!$C$2:$C$72=$F13),'FY22 Budget Update'!$F$1:$AC$1&lt;=$K$4),"""")"),"")</f>
        <v/>
      </c>
      <c r="Q13" s="102" t="str">
        <f t="shared" si="5"/>
        <v/>
      </c>
      <c r="R13" s="197"/>
    </row>
    <row r="14" ht="15.75" customHeight="1">
      <c r="A14" s="211" t="s">
        <v>268</v>
      </c>
      <c r="B14" s="212"/>
      <c r="C14" s="212"/>
      <c r="D14" s="213"/>
      <c r="E14" s="212">
        <f t="shared" si="1"/>
        <v>0</v>
      </c>
      <c r="F14" s="214" t="str">
        <f t="shared" si="2"/>
        <v>0000-5179</v>
      </c>
      <c r="G14" s="106"/>
      <c r="H14" s="102" t="str">
        <f t="shared" si="3"/>
        <v/>
      </c>
      <c r="I14" s="197"/>
      <c r="J14" s="215" t="str">
        <f>IFERROR(__xludf.DUMMYFUNCTION("IFERROR(SUMPRODUCT(FILTER('FY22 Budget'!$F$2:$AC$71,'FY22 Budget'!$C$2:$C$71=$F14),'FY22 Budget'!$F$1:$AC$1&lt;=$K$4),"""")"),"")</f>
        <v/>
      </c>
      <c r="K14" s="216" t="str">
        <f t="shared" si="4"/>
        <v/>
      </c>
      <c r="L14" s="204"/>
      <c r="M14" s="215" t="str">
        <f>_xludf.IFNA(VLOOKUP($F14,'FY22 Budget Update'!$C:$E,3,FALSE),0)</f>
        <v>#NAME?</v>
      </c>
      <c r="N14" s="216" t="str">
        <f t="shared" si="6"/>
        <v/>
      </c>
      <c r="O14" s="197"/>
      <c r="P14" s="106" t="str">
        <f>IFERROR(__xludf.DUMMYFUNCTION("IFERROR(SUMPRODUCT(FILTER('FY22 Budget Update'!$F$2:$AC$72,'FY22 Budget Update'!$C$2:$C$72=$F14),'FY22 Budget Update'!$F$1:$AC$1&lt;=$K$4),"""")"),"")</f>
        <v/>
      </c>
      <c r="Q14" s="102" t="str">
        <f t="shared" si="5"/>
        <v/>
      </c>
      <c r="R14" s="197"/>
    </row>
    <row r="15" ht="15.75" customHeight="1">
      <c r="A15" s="211" t="s">
        <v>269</v>
      </c>
      <c r="B15" s="212">
        <v>350.0</v>
      </c>
      <c r="C15" s="212"/>
      <c r="D15" s="213"/>
      <c r="E15" s="212">
        <f t="shared" si="1"/>
        <v>350</v>
      </c>
      <c r="F15" s="214" t="str">
        <f t="shared" si="2"/>
        <v>0000-5192</v>
      </c>
      <c r="G15" s="106">
        <v>508925.0</v>
      </c>
      <c r="H15" s="102">
        <f t="shared" si="3"/>
        <v>0.0006877241244</v>
      </c>
      <c r="I15" s="197"/>
      <c r="J15" s="215">
        <f>IFERROR(__xludf.DUMMYFUNCTION("IFERROR(SUMPRODUCT(FILTER('FY22 Budget'!$F$2:$AC$71,'FY22 Budget'!$C$2:$C$71=$F15),'FY22 Budget'!$F$1:$AC$1&lt;=$K$4),"""")"),0.0)</f>
        <v>0</v>
      </c>
      <c r="K15" s="216" t="str">
        <f t="shared" si="4"/>
        <v/>
      </c>
      <c r="L15" s="204"/>
      <c r="M15" s="215" t="str">
        <f>_xludf.IFNA(VLOOKUP($F15,'FY22 Budget Update'!$C:$E,3,FALSE),0)</f>
        <v>#NAME?</v>
      </c>
      <c r="N15" s="216" t="str">
        <f t="shared" ref="N15:N17" si="7">IFERROR($E15/M15,"")</f>
        <v/>
      </c>
      <c r="O15" s="197"/>
      <c r="P15" s="106">
        <f>IFERROR(__xludf.DUMMYFUNCTION("IFERROR(SUMPRODUCT(FILTER('FY22 Budget Update'!$F$2:$AC$72,'FY22 Budget Update'!$C$2:$C$72=$F15),'FY22 Budget Update'!$F$1:$AC$1&lt;=$K$4),"""")"),0.0)</f>
        <v>0</v>
      </c>
      <c r="Q15" s="102" t="str">
        <f t="shared" si="5"/>
        <v/>
      </c>
      <c r="R15" s="197"/>
    </row>
    <row r="16" ht="15.75" customHeight="1">
      <c r="A16" s="211" t="s">
        <v>270</v>
      </c>
      <c r="B16" s="212">
        <v>1121.62</v>
      </c>
      <c r="C16" s="212"/>
      <c r="D16" s="213"/>
      <c r="E16" s="212">
        <f t="shared" si="1"/>
        <v>1121.62</v>
      </c>
      <c r="F16" s="214" t="str">
        <f t="shared" si="2"/>
        <v>0000-5198</v>
      </c>
      <c r="G16" s="106">
        <v>0.0</v>
      </c>
      <c r="H16" s="102" t="str">
        <f t="shared" si="3"/>
        <v/>
      </c>
      <c r="I16" s="197"/>
      <c r="J16" s="215">
        <f>IFERROR(__xludf.DUMMYFUNCTION("IFERROR(SUMPRODUCT(FILTER('FY22 Budget'!$F$2:$AC$71,'FY22 Budget'!$C$2:$C$71=$F16),'FY22 Budget'!$F$1:$AC$1&lt;=$K$4),"""")"),0.0)</f>
        <v>0</v>
      </c>
      <c r="K16" s="216" t="str">
        <f t="shared" si="4"/>
        <v/>
      </c>
      <c r="L16" s="204"/>
      <c r="M16" s="215" t="str">
        <f>_xludf.IFNA(VLOOKUP($F16,'FY22 Budget Update'!$C:$E,3,FALSE),0)</f>
        <v>#NAME?</v>
      </c>
      <c r="N16" s="216" t="str">
        <f t="shared" si="7"/>
        <v/>
      </c>
      <c r="O16" s="197"/>
      <c r="P16" s="106">
        <f>IFERROR(__xludf.DUMMYFUNCTION("IFERROR(SUMPRODUCT(FILTER('FY22 Budget Update'!$F$2:$AC$72,'FY22 Budget Update'!$C$2:$C$72=$F16),'FY22 Budget Update'!$F$1:$AC$1&lt;=$K$4),"""")"),0.0)</f>
        <v>0</v>
      </c>
      <c r="Q16" s="102" t="str">
        <f t="shared" si="5"/>
        <v/>
      </c>
      <c r="R16" s="197"/>
    </row>
    <row r="17" ht="15.75" customHeight="1">
      <c r="A17" s="211" t="s">
        <v>271</v>
      </c>
      <c r="B17" s="218">
        <f t="shared" ref="B17:E17" si="8">SUM(B8:B16)</f>
        <v>57930.2</v>
      </c>
      <c r="C17" s="218">
        <f t="shared" si="8"/>
        <v>0</v>
      </c>
      <c r="D17" s="218">
        <f t="shared" si="8"/>
        <v>0</v>
      </c>
      <c r="E17" s="218">
        <f t="shared" si="8"/>
        <v>57930.2</v>
      </c>
      <c r="F17" s="214" t="str">
        <f t="shared" si="2"/>
        <v>Total 000</v>
      </c>
      <c r="G17" s="108">
        <f>SUM(G8:G16)</f>
        <v>1186293</v>
      </c>
      <c r="H17" s="219">
        <f t="shared" si="3"/>
        <v>0.04883296117</v>
      </c>
      <c r="I17" s="197"/>
      <c r="J17" s="220">
        <f>SUM(J8:J16)</f>
        <v>0</v>
      </c>
      <c r="K17" s="221" t="str">
        <f t="shared" si="4"/>
        <v/>
      </c>
      <c r="L17" s="204"/>
      <c r="M17" s="220" t="str">
        <f>SUM(M8:M16)</f>
        <v>#NAME?</v>
      </c>
      <c r="N17" s="221" t="str">
        <f t="shared" si="7"/>
        <v/>
      </c>
      <c r="O17" s="197"/>
      <c r="P17" s="108">
        <f>SUM(P8:P16)</f>
        <v>0</v>
      </c>
      <c r="Q17" s="112" t="str">
        <f t="shared" si="5"/>
        <v/>
      </c>
      <c r="R17" s="197"/>
    </row>
    <row r="18" ht="15.75" customHeight="1">
      <c r="A18" s="211" t="s">
        <v>272</v>
      </c>
      <c r="B18" s="213"/>
      <c r="C18" s="213"/>
      <c r="D18" s="213"/>
      <c r="E18" s="212"/>
      <c r="F18" s="214" t="str">
        <f t="shared" si="2"/>
        <v>0000-5300</v>
      </c>
      <c r="G18" s="106"/>
      <c r="H18" s="102" t="str">
        <f t="shared" ref="H18:H21" si="9">IFERROR(E18/G18,"")</f>
        <v/>
      </c>
      <c r="I18" s="197"/>
      <c r="J18" s="215"/>
      <c r="K18" s="216"/>
      <c r="L18" s="204"/>
      <c r="M18" s="215"/>
      <c r="N18" s="216" t="str">
        <f>IFERROR(K18/M18,"")</f>
        <v/>
      </c>
      <c r="O18" s="197"/>
      <c r="P18" s="106"/>
      <c r="Q18" s="102"/>
      <c r="R18" s="197"/>
    </row>
    <row r="19" ht="15.75" customHeight="1">
      <c r="A19" s="211" t="s">
        <v>273</v>
      </c>
      <c r="B19" s="222">
        <f>350242-C19</f>
        <v>48004.96</v>
      </c>
      <c r="C19" s="222">
        <v>302237.04</v>
      </c>
      <c r="D19" s="213"/>
      <c r="E19" s="212">
        <f t="shared" ref="E19:E21" si="10">SUM(B19:D19)</f>
        <v>350242</v>
      </c>
      <c r="F19" s="214" t="str">
        <f t="shared" si="2"/>
        <v>0000-5311</v>
      </c>
      <c r="G19" s="106">
        <v>8064531.0</v>
      </c>
      <c r="H19" s="102">
        <f t="shared" si="9"/>
        <v>0.04342992792</v>
      </c>
      <c r="I19" s="197"/>
      <c r="J19" s="215">
        <f>IFERROR(__xludf.DUMMYFUNCTION("IFERROR(SUMPRODUCT(FILTER('FY22 Budget'!$F$2:$AC$71,'FY22 Budget'!$C$2:$C$71=$F19),'FY22 Budget'!$F$1:$AC$1&lt;=$K$4),"""")"),0.0)</f>
        <v>0</v>
      </c>
      <c r="K19" s="216" t="str">
        <f>IFERROR($E19/J19,"")</f>
        <v/>
      </c>
      <c r="L19" s="204"/>
      <c r="M19" s="215" t="str">
        <f>_xludf.IFNA(VLOOKUP($F19,'FY22 Budget Update'!$C:$E,3,FALSE),0)</f>
        <v>#NAME?</v>
      </c>
      <c r="N19" s="216" t="str">
        <f>IFERROR($E19/M19,"")</f>
        <v/>
      </c>
      <c r="O19" s="197"/>
      <c r="P19" s="106">
        <f>IFERROR(__xludf.DUMMYFUNCTION("IFERROR(SUMPRODUCT(FILTER('FY22 Budget Update'!$F$2:$AC$72,'FY22 Budget Update'!$C$2:$C$72=$F19),'FY22 Budget Update'!$F$1:$AC$1&lt;=$K$4),"""")"),0.0)</f>
        <v>0</v>
      </c>
      <c r="Q19" s="102" t="str">
        <f>IFERROR($E19/P19,"")</f>
        <v/>
      </c>
      <c r="R19" s="223"/>
    </row>
    <row r="20" ht="15.75" customHeight="1">
      <c r="A20" s="211" t="s">
        <v>274</v>
      </c>
      <c r="B20" s="222">
        <v>16592.32</v>
      </c>
      <c r="C20" s="213"/>
      <c r="D20" s="213"/>
      <c r="E20" s="212">
        <f t="shared" si="10"/>
        <v>16592.32</v>
      </c>
      <c r="F20" s="214" t="s">
        <v>53</v>
      </c>
      <c r="G20" s="106">
        <v>254524.0</v>
      </c>
      <c r="H20" s="102">
        <f t="shared" si="9"/>
        <v>0.06518960884</v>
      </c>
      <c r="I20" s="197"/>
      <c r="J20" s="215"/>
      <c r="K20" s="216"/>
      <c r="L20" s="204"/>
      <c r="M20" s="215"/>
      <c r="N20" s="216"/>
      <c r="O20" s="197"/>
      <c r="P20" s="106"/>
      <c r="Q20" s="102"/>
      <c r="R20" s="197"/>
    </row>
    <row r="21" ht="15.75" customHeight="1">
      <c r="A21" s="211" t="s">
        <v>275</v>
      </c>
      <c r="B21" s="222"/>
      <c r="C21" s="213"/>
      <c r="D21" s="213"/>
      <c r="E21" s="212">
        <f t="shared" si="10"/>
        <v>0</v>
      </c>
      <c r="F21" s="214" t="str">
        <f t="shared" ref="F21:F26" si="12">LEFT(TRIM(A21),9)</f>
        <v>0000-5384</v>
      </c>
      <c r="G21" s="106"/>
      <c r="H21" s="102" t="str">
        <f t="shared" si="9"/>
        <v/>
      </c>
      <c r="I21" s="197"/>
      <c r="J21" s="215" t="str">
        <f>IFERROR(__xludf.DUMMYFUNCTION("IFERROR(SUMPRODUCT(FILTER('FY22 Budget'!$F$2:$AC$71,'FY22 Budget'!$C$2:$C$71=$F21),'FY22 Budget'!$F$1:$AC$1&lt;=$K$4),"""")"),"")</f>
        <v/>
      </c>
      <c r="K21" s="216" t="str">
        <f t="shared" ref="K21:K22" si="13">IFERROR($E21/J21,"")</f>
        <v/>
      </c>
      <c r="L21" s="204"/>
      <c r="M21" s="215" t="str">
        <f>_xludf.IFNA(VLOOKUP($F21,'FY22 Budget Update'!$C:$E,3,FALSE),0)</f>
        <v>#NAME?</v>
      </c>
      <c r="N21" s="216" t="str">
        <f t="shared" ref="N21:N22" si="14">IFERROR($E21/M21,"")</f>
        <v/>
      </c>
      <c r="O21" s="197"/>
      <c r="P21" s="106" t="str">
        <f>IFERROR(__xludf.DUMMYFUNCTION("IFERROR(SUMPRODUCT(FILTER('FY22 Budget Update'!$F$2:$AC$72,'FY22 Budget Update'!$C$2:$C$72=$F21),'FY22 Budget Update'!$F$1:$AC$1&lt;=$K$4),"""")"),"")</f>
        <v/>
      </c>
      <c r="Q21" s="102" t="str">
        <f t="shared" ref="Q21:Q22" si="15">IFERROR($E21/P21,"")</f>
        <v/>
      </c>
      <c r="R21" s="197"/>
    </row>
    <row r="22" ht="15.75" customHeight="1">
      <c r="A22" s="211" t="s">
        <v>276</v>
      </c>
      <c r="B22" s="218">
        <f t="shared" ref="B22:E22" si="11">SUM(B19:B21)</f>
        <v>64597.28</v>
      </c>
      <c r="C22" s="218">
        <f t="shared" si="11"/>
        <v>302237.04</v>
      </c>
      <c r="D22" s="218">
        <f t="shared" si="11"/>
        <v>0</v>
      </c>
      <c r="E22" s="218">
        <f t="shared" si="11"/>
        <v>366834.32</v>
      </c>
      <c r="F22" s="214" t="str">
        <f t="shared" si="12"/>
        <v>Total 000</v>
      </c>
      <c r="G22" s="108">
        <f>SUM(G19:G21)</f>
        <v>8319055</v>
      </c>
      <c r="H22" s="224">
        <f>IFERROR($E22/G22,"")</f>
        <v>0.04409567192</v>
      </c>
      <c r="I22" s="197"/>
      <c r="J22" s="220">
        <f>SUM(J19:J21)</f>
        <v>0</v>
      </c>
      <c r="K22" s="221" t="str">
        <f t="shared" si="13"/>
        <v/>
      </c>
      <c r="L22" s="204"/>
      <c r="M22" s="220" t="str">
        <f>SUM(M19:M21)</f>
        <v>#NAME?</v>
      </c>
      <c r="N22" s="221" t="str">
        <f t="shared" si="14"/>
        <v/>
      </c>
      <c r="O22" s="197"/>
      <c r="P22" s="108">
        <f>SUM(P19:P21)</f>
        <v>0</v>
      </c>
      <c r="Q22" s="112" t="str">
        <f t="shared" si="15"/>
        <v/>
      </c>
      <c r="R22" s="197"/>
    </row>
    <row r="23" ht="15.75" customHeight="1">
      <c r="A23" s="211" t="s">
        <v>277</v>
      </c>
      <c r="B23" s="213"/>
      <c r="C23" s="213"/>
      <c r="D23" s="213"/>
      <c r="E23" s="212"/>
      <c r="F23" s="214" t="str">
        <f t="shared" si="12"/>
        <v>0000-5400</v>
      </c>
      <c r="G23" s="106"/>
      <c r="H23" s="102" t="str">
        <f t="shared" ref="H23:H35" si="16">IFERROR(E23/G23,"")</f>
        <v/>
      </c>
      <c r="I23" s="197"/>
      <c r="J23" s="215"/>
      <c r="K23" s="216"/>
      <c r="L23" s="204"/>
      <c r="M23" s="215"/>
      <c r="N23" s="216" t="str">
        <f>IFERROR(K23/M23,"")</f>
        <v/>
      </c>
      <c r="O23" s="197"/>
      <c r="P23" s="106"/>
      <c r="Q23" s="102"/>
      <c r="R23" s="197"/>
    </row>
    <row r="24" ht="15.75" customHeight="1">
      <c r="A24" s="211" t="s">
        <v>278</v>
      </c>
      <c r="B24" s="225">
        <v>120.33</v>
      </c>
      <c r="C24" s="213"/>
      <c r="D24" s="213"/>
      <c r="E24" s="212">
        <f t="shared" ref="E24:E35" si="17">SUM(B24:D24)</f>
        <v>120.33</v>
      </c>
      <c r="F24" s="214" t="str">
        <f t="shared" si="12"/>
        <v>0000-5412</v>
      </c>
      <c r="G24" s="106">
        <v>56320.0</v>
      </c>
      <c r="H24" s="102">
        <f t="shared" si="16"/>
        <v>0.002136541193</v>
      </c>
      <c r="I24" s="197"/>
      <c r="J24" s="215">
        <f>IFERROR(__xludf.DUMMYFUNCTION("IFERROR(SUMPRODUCT(FILTER('FY22 Budget'!$F$2:$AC$71,'FY22 Budget'!$C$2:$C$71=$F24),'FY22 Budget'!$F$1:$AC$1&lt;=$K$4),"""")"),0.0)</f>
        <v>0</v>
      </c>
      <c r="K24" s="216" t="str">
        <f t="shared" ref="K24:K26" si="18">IFERROR($E24/J24,"")</f>
        <v/>
      </c>
      <c r="L24" s="204"/>
      <c r="M24" s="215" t="str">
        <f>_xludf.IFNA(VLOOKUP($F24,'FY22 Budget Update'!$C:$E,3,FALSE),0)</f>
        <v>#NAME?</v>
      </c>
      <c r="N24" s="216" t="str">
        <f t="shared" ref="N24:N26" si="19">IFERROR($E24/M24,"")</f>
        <v/>
      </c>
      <c r="O24" s="197"/>
      <c r="P24" s="106">
        <f>IFERROR(__xludf.DUMMYFUNCTION("IFERROR(SUMPRODUCT(FILTER('FY22 Budget Update'!$F$2:$AC$72,'FY22 Budget Update'!$C$2:$C$72=$F24),'FY22 Budget Update'!$F$1:$AC$1&lt;=$K$4),"""")"),0.0)</f>
        <v>0</v>
      </c>
      <c r="Q24" s="102" t="str">
        <f t="shared" ref="Q24:Q26" si="20">IFERROR($E24/P24,"")</f>
        <v/>
      </c>
      <c r="R24" s="197"/>
    </row>
    <row r="25" ht="15.75" customHeight="1">
      <c r="A25" s="211" t="s">
        <v>279</v>
      </c>
      <c r="B25" s="225">
        <v>12076.89</v>
      </c>
      <c r="C25" s="213"/>
      <c r="D25" s="213"/>
      <c r="E25" s="212">
        <f t="shared" si="17"/>
        <v>12076.89</v>
      </c>
      <c r="F25" s="214" t="str">
        <f t="shared" si="12"/>
        <v>0000-5422</v>
      </c>
      <c r="G25" s="106"/>
      <c r="H25" s="102" t="str">
        <f t="shared" si="16"/>
        <v/>
      </c>
      <c r="I25" s="197"/>
      <c r="J25" s="215" t="str">
        <f>IFERROR(__xludf.DUMMYFUNCTION("IFERROR(SUMPRODUCT(FILTER('FY23 Budget'!$F$2:$AC$71,'FY23 Budget'!$C$2:$C$71=$F25),'FY23 Budget'!$F$1:$AC$1&lt;=$K$4),"""")"),"")</f>
        <v/>
      </c>
      <c r="K25" s="216" t="str">
        <f t="shared" si="18"/>
        <v/>
      </c>
      <c r="L25" s="204"/>
      <c r="M25" s="215" t="str">
        <f>_xludf.IFNA(VLOOKUP($F25,'FY22 Budget Update'!$C:$E,3,FALSE),0)</f>
        <v>#NAME?</v>
      </c>
      <c r="N25" s="216" t="str">
        <f t="shared" si="19"/>
        <v/>
      </c>
      <c r="O25" s="197"/>
      <c r="P25" s="106">
        <f>IFERROR(__xludf.DUMMYFUNCTION("IFERROR(SUMPRODUCT(FILTER('FY22 Budget Update'!$F$2:$AC$72,'FY22 Budget Update'!$C$2:$C$72=$F25),'FY22 Budget Update'!$F$1:$AC$1&lt;=$K$4),"""")"),0.0)</f>
        <v>0</v>
      </c>
      <c r="Q25" s="102" t="str">
        <f t="shared" si="20"/>
        <v/>
      </c>
      <c r="R25" s="197"/>
    </row>
    <row r="26" ht="15.75" customHeight="1">
      <c r="A26" s="211" t="s">
        <v>280</v>
      </c>
      <c r="B26" s="222"/>
      <c r="C26" s="213"/>
      <c r="D26" s="213"/>
      <c r="E26" s="212">
        <f t="shared" si="17"/>
        <v>0</v>
      </c>
      <c r="F26" s="214" t="str">
        <f t="shared" si="12"/>
        <v>0000-5423</v>
      </c>
      <c r="G26" s="106"/>
      <c r="H26" s="102" t="str">
        <f t="shared" si="16"/>
        <v/>
      </c>
      <c r="I26" s="197"/>
      <c r="J26" s="215" t="str">
        <f>IFERROR(__xludf.DUMMYFUNCTION("IFERROR(SUMPRODUCT(FILTER('FY22 Budget'!$F$2:$AC$71,'FY22 Budget'!$C$2:$C$71=$F26),'FY22 Budget'!$F$1:$AC$1&lt;=$K$4),"""")"),"")</f>
        <v/>
      </c>
      <c r="K26" s="216" t="str">
        <f t="shared" si="18"/>
        <v/>
      </c>
      <c r="L26" s="204"/>
      <c r="M26" s="215" t="str">
        <f>_xludf.IFNA(VLOOKUP($F26,'FY22 Budget Update'!$C:$E,3,FALSE),0)</f>
        <v>#NAME?</v>
      </c>
      <c r="N26" s="216" t="str">
        <f t="shared" si="19"/>
        <v/>
      </c>
      <c r="O26" s="197"/>
      <c r="P26" s="106">
        <f>IFERROR(__xludf.DUMMYFUNCTION("IFERROR(SUMPRODUCT(FILTER('FY22 Budget Update'!$F$2:$AC$72,'FY22 Budget Update'!$C$2:$C$72=$F26),'FY22 Budget Update'!$F$1:$AC$1&lt;=$K$4),"""")"),0.0)</f>
        <v>0</v>
      </c>
      <c r="Q26" s="102" t="str">
        <f t="shared" si="20"/>
        <v/>
      </c>
      <c r="R26" s="197"/>
    </row>
    <row r="27" ht="15.75" customHeight="1">
      <c r="A27" s="211" t="s">
        <v>281</v>
      </c>
      <c r="B27" s="222"/>
      <c r="C27" s="213"/>
      <c r="D27" s="213"/>
      <c r="E27" s="212">
        <f t="shared" si="17"/>
        <v>0</v>
      </c>
      <c r="F27" s="214"/>
      <c r="G27" s="106"/>
      <c r="H27" s="102" t="str">
        <f t="shared" si="16"/>
        <v/>
      </c>
      <c r="I27" s="197"/>
      <c r="J27" s="215"/>
      <c r="K27" s="216"/>
      <c r="L27" s="204"/>
      <c r="M27" s="215"/>
      <c r="N27" s="216"/>
      <c r="O27" s="197"/>
      <c r="P27" s="106"/>
      <c r="Q27" s="102"/>
      <c r="R27" s="197"/>
    </row>
    <row r="28" ht="15.75" customHeight="1">
      <c r="A28" s="211" t="s">
        <v>282</v>
      </c>
      <c r="B28" s="222"/>
      <c r="C28" s="213"/>
      <c r="D28" s="213"/>
      <c r="E28" s="212">
        <f t="shared" si="17"/>
        <v>0</v>
      </c>
      <c r="F28" s="214" t="str">
        <f t="shared" ref="F28:F40" si="21">LEFT(TRIM(A28),9)</f>
        <v>0000-5441</v>
      </c>
      <c r="G28" s="106">
        <v>147573.0</v>
      </c>
      <c r="H28" s="102">
        <f t="shared" si="16"/>
        <v>0</v>
      </c>
      <c r="I28" s="197"/>
      <c r="J28" s="215">
        <f>IFERROR(__xludf.DUMMYFUNCTION("IFERROR(SUMPRODUCT(FILTER('FY22 Budget'!$F$2:$AC$71,'FY22 Budget'!$C$2:$C$71=$F28),'FY22 Budget'!$F$1:$AC$1&lt;=$K$4),"""")"),0.0)</f>
        <v>0</v>
      </c>
      <c r="K28" s="216" t="str">
        <f t="shared" ref="K28:K36" si="22">IFERROR($E28/J28,"")</f>
        <v/>
      </c>
      <c r="L28" s="204"/>
      <c r="M28" s="215" t="str">
        <f>_xludf.IFNA(VLOOKUP($F28,'FY22 Budget Update'!$C:$E,3,FALSE),0)</f>
        <v>#NAME?</v>
      </c>
      <c r="N28" s="216" t="str">
        <f t="shared" ref="N28:N33" si="23">IFERROR($E28/M28,"")</f>
        <v/>
      </c>
      <c r="O28" s="197"/>
      <c r="P28" s="106">
        <f>IFERROR(__xludf.DUMMYFUNCTION("IFERROR(SUMPRODUCT(FILTER('FY22 Budget Update'!$F$2:$AC$72,'FY22 Budget Update'!$C$2:$C$72=$F28),'FY22 Budget Update'!$F$1:$AC$1&lt;=$K$4),"""")"),0.0)</f>
        <v>0</v>
      </c>
      <c r="Q28" s="102" t="str">
        <f t="shared" ref="Q28:Q36" si="24">IFERROR($E28/P28,"")</f>
        <v/>
      </c>
      <c r="R28" s="197"/>
    </row>
    <row r="29" ht="15.75" customHeight="1">
      <c r="A29" s="211" t="s">
        <v>283</v>
      </c>
      <c r="B29" s="222"/>
      <c r="C29" s="213"/>
      <c r="D29" s="213"/>
      <c r="E29" s="212">
        <f t="shared" si="17"/>
        <v>0</v>
      </c>
      <c r="F29" s="214" t="str">
        <f t="shared" si="21"/>
        <v>0000-5445</v>
      </c>
      <c r="G29" s="106">
        <v>98462.0</v>
      </c>
      <c r="H29" s="102">
        <f t="shared" si="16"/>
        <v>0</v>
      </c>
      <c r="I29" s="197"/>
      <c r="J29" s="215">
        <f>IFERROR(__xludf.DUMMYFUNCTION("IFERROR(SUMPRODUCT(FILTER('FY22 Budget'!$F$2:$AC$71,'FY22 Budget'!$C$2:$C$71=$F29),'FY22 Budget'!$F$1:$AC$1&lt;=$K$4),"""")"),0.0)</f>
        <v>0</v>
      </c>
      <c r="K29" s="216" t="str">
        <f t="shared" si="22"/>
        <v/>
      </c>
      <c r="L29" s="204"/>
      <c r="M29" s="215" t="str">
        <f>_xludf.IFNA(VLOOKUP($F29,'FY22 Budget Update'!$C:$E,3,FALSE),0)</f>
        <v>#NAME?</v>
      </c>
      <c r="N29" s="216" t="str">
        <f t="shared" si="23"/>
        <v/>
      </c>
      <c r="O29" s="197"/>
      <c r="P29" s="106">
        <f>IFERROR(__xludf.DUMMYFUNCTION("IFERROR(SUMPRODUCT(FILTER('FY22 Budget Update'!$F$2:$AC$72,'FY22 Budget Update'!$C$2:$C$72=$F29),'FY22 Budget Update'!$F$1:$AC$1&lt;=$K$4),"""")"),0.0)</f>
        <v>0</v>
      </c>
      <c r="Q29" s="102" t="str">
        <f t="shared" si="24"/>
        <v/>
      </c>
      <c r="R29" s="226"/>
    </row>
    <row r="30" ht="15.75" customHeight="1">
      <c r="A30" s="211" t="s">
        <v>284</v>
      </c>
      <c r="B30" s="222"/>
      <c r="C30" s="213"/>
      <c r="D30" s="213"/>
      <c r="E30" s="212">
        <f t="shared" si="17"/>
        <v>0</v>
      </c>
      <c r="F30" s="214" t="str">
        <f t="shared" si="21"/>
        <v>0000-5446</v>
      </c>
      <c r="G30" s="106">
        <v>42240.0</v>
      </c>
      <c r="H30" s="102">
        <f t="shared" si="16"/>
        <v>0</v>
      </c>
      <c r="I30" s="197"/>
      <c r="J30" s="215">
        <f>IFERROR(__xludf.DUMMYFUNCTION("IFERROR(SUMPRODUCT(FILTER('FY22 Budget'!$F$2:$AC$71,'FY22 Budget'!$C$2:$C$71=$F30),'FY22 Budget'!$F$1:$AC$1&lt;=$K$4),"""")"),0.0)</f>
        <v>0</v>
      </c>
      <c r="K30" s="216" t="str">
        <f t="shared" si="22"/>
        <v/>
      </c>
      <c r="L30" s="204"/>
      <c r="M30" s="215" t="str">
        <f>_xludf.IFNA(VLOOKUP($F30,'FY22 Budget Update'!$C:$E,3,FALSE),0)</f>
        <v>#NAME?</v>
      </c>
      <c r="N30" s="216" t="str">
        <f t="shared" si="23"/>
        <v/>
      </c>
      <c r="O30" s="197"/>
      <c r="P30" s="106">
        <f>IFERROR(__xludf.DUMMYFUNCTION("IFERROR(SUMPRODUCT(FILTER('FY22 Budget Update'!$F$2:$AC$72,'FY22 Budget Update'!$C$2:$C$72=$F30),'FY22 Budget Update'!$F$1:$AC$1&lt;=$K$4),"""")"),0.0)</f>
        <v>0</v>
      </c>
      <c r="Q30" s="102" t="str">
        <f t="shared" si="24"/>
        <v/>
      </c>
      <c r="R30" s="197"/>
    </row>
    <row r="31">
      <c r="A31" s="211" t="s">
        <v>285</v>
      </c>
      <c r="B31" s="222">
        <f>39767.22</f>
        <v>39767.22</v>
      </c>
      <c r="C31" s="213"/>
      <c r="D31" s="213"/>
      <c r="E31" s="212">
        <f t="shared" si="17"/>
        <v>39767.22</v>
      </c>
      <c r="F31" s="214" t="str">
        <f t="shared" si="21"/>
        <v>0000-5451</v>
      </c>
      <c r="G31" s="106">
        <v>794880.0</v>
      </c>
      <c r="H31" s="102">
        <f t="shared" si="16"/>
        <v>0.05002921196</v>
      </c>
      <c r="I31" s="197"/>
      <c r="J31" s="215">
        <f>IFERROR(__xludf.DUMMYFUNCTION("IFERROR(SUMPRODUCT(FILTER('FY22 Budget'!$F$2:$AC$71,'FY22 Budget'!$C$2:$C$71=$F31),'FY22 Budget'!$F$1:$AC$1&lt;=$K$4),"""")"),0.0)</f>
        <v>0</v>
      </c>
      <c r="K31" s="216" t="str">
        <f t="shared" si="22"/>
        <v/>
      </c>
      <c r="L31" s="204"/>
      <c r="M31" s="215" t="str">
        <f>_xludf.IFNA(VLOOKUP($F31,'FY22 Budget Update'!$C:$E,3,FALSE),0)</f>
        <v>#NAME?</v>
      </c>
      <c r="N31" s="216" t="str">
        <f t="shared" si="23"/>
        <v/>
      </c>
      <c r="O31" s="197"/>
      <c r="P31" s="106" t="str">
        <f t="shared" ref="P31:P33" si="25">M31</f>
        <v>#NAME?</v>
      </c>
      <c r="Q31" s="102" t="str">
        <f t="shared" si="24"/>
        <v/>
      </c>
      <c r="R31" s="197"/>
    </row>
    <row r="32">
      <c r="A32" s="211" t="s">
        <v>286</v>
      </c>
      <c r="B32" s="222">
        <f>1683.16</f>
        <v>1683.16</v>
      </c>
      <c r="C32" s="213"/>
      <c r="D32" s="213"/>
      <c r="E32" s="212">
        <f t="shared" si="17"/>
        <v>1683.16</v>
      </c>
      <c r="F32" s="214" t="str">
        <f t="shared" si="21"/>
        <v>0000-5461</v>
      </c>
      <c r="G32" s="106">
        <v>45424.0</v>
      </c>
      <c r="H32" s="102">
        <f t="shared" si="16"/>
        <v>0.03705442057</v>
      </c>
      <c r="I32" s="197"/>
      <c r="J32" s="215">
        <f>IFERROR(__xludf.DUMMYFUNCTION("IFERROR(SUMPRODUCT(FILTER('FY22 Budget'!$F$2:$AC$71,'FY22 Budget'!$C$2:$C$71=$F32),'FY22 Budget'!$F$1:$AC$1&lt;=$K$4),"""")"),0.0)</f>
        <v>0</v>
      </c>
      <c r="K32" s="216" t="str">
        <f t="shared" si="22"/>
        <v/>
      </c>
      <c r="L32" s="204"/>
      <c r="M32" s="215" t="str">
        <f>_xludf.IFNA(VLOOKUP($F32,'FY22 Budget Update'!$C:$E,3,FALSE),0)</f>
        <v>#NAME?</v>
      </c>
      <c r="N32" s="216" t="str">
        <f t="shared" si="23"/>
        <v/>
      </c>
      <c r="O32" s="197"/>
      <c r="P32" s="106" t="str">
        <f t="shared" si="25"/>
        <v>#NAME?</v>
      </c>
      <c r="Q32" s="102" t="str">
        <f t="shared" si="24"/>
        <v/>
      </c>
      <c r="R32" s="197"/>
    </row>
    <row r="33">
      <c r="A33" s="211" t="s">
        <v>287</v>
      </c>
      <c r="B33" s="222">
        <f>1038.82</f>
        <v>1038.82</v>
      </c>
      <c r="C33" s="213"/>
      <c r="D33" s="213"/>
      <c r="E33" s="212">
        <f t="shared" si="17"/>
        <v>1038.82</v>
      </c>
      <c r="F33" s="214" t="str">
        <f t="shared" si="21"/>
        <v>0000-5465</v>
      </c>
      <c r="G33" s="106">
        <v>36461.0</v>
      </c>
      <c r="H33" s="102">
        <f t="shared" si="16"/>
        <v>0.02849126464</v>
      </c>
      <c r="I33" s="197"/>
      <c r="J33" s="215">
        <f>IFERROR(__xludf.DUMMYFUNCTION("IFERROR(SUMPRODUCT(FILTER('FY22 Budget'!$F$2:$AC$71,'FY22 Budget'!$C$2:$C$71=$F33),'FY22 Budget'!$F$1:$AC$1&lt;=$K$4),"""")"),0.0)</f>
        <v>0</v>
      </c>
      <c r="K33" s="216" t="str">
        <f t="shared" si="22"/>
        <v/>
      </c>
      <c r="L33" s="204"/>
      <c r="M33" s="215" t="str">
        <f>_xludf.IFNA(VLOOKUP($F33,'FY22 Budget Update'!$C:$E,3,FALSE),0)</f>
        <v>#NAME?</v>
      </c>
      <c r="N33" s="216" t="str">
        <f t="shared" si="23"/>
        <v/>
      </c>
      <c r="O33" s="197"/>
      <c r="P33" s="106" t="str">
        <f t="shared" si="25"/>
        <v>#NAME?</v>
      </c>
      <c r="Q33" s="102" t="str">
        <f t="shared" si="24"/>
        <v/>
      </c>
      <c r="R33" s="197"/>
    </row>
    <row r="34">
      <c r="A34" s="211" t="s">
        <v>288</v>
      </c>
      <c r="B34" s="222"/>
      <c r="C34" s="213"/>
      <c r="D34" s="213"/>
      <c r="E34" s="212">
        <f t="shared" si="17"/>
        <v>0</v>
      </c>
      <c r="F34" s="214" t="str">
        <f t="shared" si="21"/>
        <v>0000-5471</v>
      </c>
      <c r="G34" s="106"/>
      <c r="H34" s="102" t="str">
        <f t="shared" si="16"/>
        <v/>
      </c>
      <c r="I34" s="197"/>
      <c r="J34" s="215" t="str">
        <f>IFERROR(__xludf.DUMMYFUNCTION("IFERROR(SUMPRODUCT(FILTER('FY22 Budget'!$F$2:$AC$71,'FY22 Budget'!$C$2:$C$71=$F34),'FY22 Budget'!$F$1:$AC$1&lt;=$K$4),"""")"),"")</f>
        <v/>
      </c>
      <c r="K34" s="216" t="str">
        <f t="shared" si="22"/>
        <v/>
      </c>
      <c r="L34" s="204"/>
      <c r="M34" s="215" t="str">
        <f>_xludf.IFNA(VLOOKUP($F34,'FY22 Budget Update'!$C:$E,3,FALSE),0)</f>
        <v>#NAME?</v>
      </c>
      <c r="N34" s="216" t="str">
        <f>IFERROR(K34/M34,"")</f>
        <v/>
      </c>
      <c r="O34" s="197"/>
      <c r="P34" s="106" t="str">
        <f>IFERROR(__xludf.DUMMYFUNCTION("IFERROR(SUMPRODUCT(FILTER('FY22 Budget Update'!$F$2:$AC$72,'FY22 Budget Update'!$C$2:$C$72=$F34),'FY22 Budget Update'!$F$1:$AC$1&lt;=$K$4),"""")"),"")</f>
        <v/>
      </c>
      <c r="Q34" s="102" t="str">
        <f t="shared" si="24"/>
        <v/>
      </c>
      <c r="R34" s="197"/>
    </row>
    <row r="35">
      <c r="A35" s="211" t="s">
        <v>289</v>
      </c>
      <c r="B35" s="212"/>
      <c r="C35" s="213"/>
      <c r="D35" s="213"/>
      <c r="E35" s="212">
        <f t="shared" si="17"/>
        <v>0</v>
      </c>
      <c r="F35" s="214" t="str">
        <f t="shared" si="21"/>
        <v>0000-5497</v>
      </c>
      <c r="G35" s="106">
        <f>19000+74585</f>
        <v>93585</v>
      </c>
      <c r="H35" s="102">
        <f t="shared" si="16"/>
        <v>0</v>
      </c>
      <c r="I35" s="197"/>
      <c r="J35" s="215">
        <f>IFERROR(__xludf.DUMMYFUNCTION("IFERROR(SUMPRODUCT(FILTER('FY22 Budget'!$F$2:$AC$71,'FY22 Budget'!$C$2:$C$71=$F35),'FY22 Budget'!$F$1:$AC$1&lt;=$K$4),"""")"),0.0)</f>
        <v>0</v>
      </c>
      <c r="K35" s="216" t="str">
        <f t="shared" si="22"/>
        <v/>
      </c>
      <c r="L35" s="204"/>
      <c r="M35" s="215" t="str">
        <f>_xludf.IFNA(VLOOKUP($F35,'FY22 Budget Update'!$C:$E,3,FALSE),0)</f>
        <v>#NAME?</v>
      </c>
      <c r="N35" s="216" t="str">
        <f t="shared" ref="N35:N36" si="27">IFERROR($E35/M35,"")</f>
        <v/>
      </c>
      <c r="O35" s="197"/>
      <c r="P35" s="106">
        <f>IFERROR(__xludf.DUMMYFUNCTION("IFERROR(SUMPRODUCT(FILTER('FY22 Budget Update'!$F$2:$AC$72,'FY22 Budget Update'!$C$2:$C$72=$F35),'FY22 Budget Update'!$F$1:$AC$1&lt;=$K$4),"""")"),0.0)</f>
        <v>0</v>
      </c>
      <c r="Q35" s="102" t="str">
        <f t="shared" si="24"/>
        <v/>
      </c>
      <c r="R35" s="197"/>
    </row>
    <row r="36">
      <c r="A36" s="211" t="s">
        <v>290</v>
      </c>
      <c r="B36" s="218">
        <f t="shared" ref="B36:D36" si="26">SUM(B24:B35)</f>
        <v>54686.42</v>
      </c>
      <c r="C36" s="218">
        <f t="shared" si="26"/>
        <v>0</v>
      </c>
      <c r="D36" s="218">
        <f t="shared" si="26"/>
        <v>0</v>
      </c>
      <c r="E36" s="218">
        <f t="shared" ref="E36:E39" si="28">((B36)+(C36))+(D36)</f>
        <v>54686.42</v>
      </c>
      <c r="F36" s="214" t="str">
        <f t="shared" si="21"/>
        <v>Total 000</v>
      </c>
      <c r="G36" s="108">
        <f>SUM(G24:G35)</f>
        <v>1314945</v>
      </c>
      <c r="H36" s="227">
        <f>IFERROR($E36/G36,"")</f>
        <v>0.04158837062</v>
      </c>
      <c r="I36" s="197"/>
      <c r="J36" s="220">
        <f>SUM(J24:J35)</f>
        <v>0</v>
      </c>
      <c r="K36" s="221" t="str">
        <f t="shared" si="22"/>
        <v/>
      </c>
      <c r="L36" s="204"/>
      <c r="M36" s="220" t="str">
        <f>SUM(M24:M35)</f>
        <v>#NAME?</v>
      </c>
      <c r="N36" s="221" t="str">
        <f t="shared" si="27"/>
        <v/>
      </c>
      <c r="O36" s="197"/>
      <c r="P36" s="108" t="str">
        <f>SUM(P24:P35)</f>
        <v>#NAME?</v>
      </c>
      <c r="Q36" s="112" t="str">
        <f t="shared" si="24"/>
        <v/>
      </c>
      <c r="R36" s="197"/>
    </row>
    <row r="37">
      <c r="A37" s="211" t="s">
        <v>291</v>
      </c>
      <c r="B37" s="213"/>
      <c r="C37" s="213"/>
      <c r="D37" s="213"/>
      <c r="E37" s="212">
        <f t="shared" si="28"/>
        <v>0</v>
      </c>
      <c r="F37" s="214" t="str">
        <f t="shared" si="21"/>
        <v>0000-5800</v>
      </c>
      <c r="G37" s="106"/>
      <c r="H37" s="102" t="str">
        <f t="shared" ref="H37:H38" si="29">IFERROR(E37/G37,"")</f>
        <v/>
      </c>
      <c r="I37" s="197"/>
      <c r="J37" s="215"/>
      <c r="K37" s="216"/>
      <c r="L37" s="204"/>
      <c r="M37" s="215"/>
      <c r="N37" s="216" t="str">
        <f t="shared" ref="N37:N38" si="30">IFERROR(K37/M37,"")</f>
        <v/>
      </c>
      <c r="O37" s="197"/>
      <c r="P37" s="106"/>
      <c r="Q37" s="102"/>
      <c r="R37" s="197"/>
    </row>
    <row r="38">
      <c r="A38" s="211" t="s">
        <v>292</v>
      </c>
      <c r="B38" s="212">
        <v>0.0</v>
      </c>
      <c r="C38" s="213"/>
      <c r="D38" s="213"/>
      <c r="E38" s="212">
        <f t="shared" si="28"/>
        <v>0</v>
      </c>
      <c r="F38" s="214" t="str">
        <f t="shared" si="21"/>
        <v>0000-5841</v>
      </c>
      <c r="G38" s="106"/>
      <c r="H38" s="102" t="str">
        <f t="shared" si="29"/>
        <v/>
      </c>
      <c r="I38" s="197"/>
      <c r="J38" s="215" t="str">
        <f>IFERROR(__xludf.DUMMYFUNCTION("IFERROR(SUMPRODUCT(FILTER('FY22 Budget'!$F$2:$AC$71,'FY22 Budget'!$C$2:$C$71=$F38),'FY22 Budget'!$F$1:$AC$1&lt;=$K$4),"""")"),"")</f>
        <v/>
      </c>
      <c r="K38" s="216" t="str">
        <f t="shared" ref="K38:K40" si="32">IFERROR($E38/J38,"")</f>
        <v/>
      </c>
      <c r="L38" s="204"/>
      <c r="M38" s="215">
        <f>E38</f>
        <v>0</v>
      </c>
      <c r="N38" s="216" t="str">
        <f t="shared" si="30"/>
        <v/>
      </c>
      <c r="O38" s="197"/>
      <c r="P38" s="106">
        <f>E38</f>
        <v>0</v>
      </c>
      <c r="Q38" s="102" t="str">
        <f t="shared" ref="Q38:Q40" si="33">IFERROR($E38/P38,"")</f>
        <v/>
      </c>
      <c r="R38" s="197"/>
    </row>
    <row r="39">
      <c r="A39" s="211" t="s">
        <v>293</v>
      </c>
      <c r="B39" s="218">
        <f t="shared" ref="B39:D39" si="31">(B37)+(B38)</f>
        <v>0</v>
      </c>
      <c r="C39" s="218">
        <f t="shared" si="31"/>
        <v>0</v>
      </c>
      <c r="D39" s="218">
        <f t="shared" si="31"/>
        <v>0</v>
      </c>
      <c r="E39" s="218">
        <f t="shared" si="28"/>
        <v>0</v>
      </c>
      <c r="F39" s="214" t="str">
        <f t="shared" si="21"/>
        <v>Total 000</v>
      </c>
      <c r="G39" s="108">
        <f>SUM(G38)</f>
        <v>0</v>
      </c>
      <c r="H39" s="112" t="str">
        <f t="shared" ref="H39:H40" si="35">IFERROR($E39/G39,"")</f>
        <v/>
      </c>
      <c r="I39" s="197"/>
      <c r="J39" s="220">
        <f>SUM(J38)</f>
        <v>0</v>
      </c>
      <c r="K39" s="221" t="str">
        <f t="shared" si="32"/>
        <v/>
      </c>
      <c r="L39" s="204"/>
      <c r="M39" s="220">
        <f>SUM(M38)</f>
        <v>0</v>
      </c>
      <c r="N39" s="221" t="str">
        <f t="shared" ref="N39:N40" si="36">IFERROR($E39/M39,"")</f>
        <v/>
      </c>
      <c r="O39" s="197"/>
      <c r="P39" s="108">
        <f>SUM(P38)</f>
        <v>0</v>
      </c>
      <c r="Q39" s="112" t="str">
        <f t="shared" si="33"/>
        <v/>
      </c>
      <c r="R39" s="197"/>
    </row>
    <row r="40">
      <c r="A40" s="211" t="s">
        <v>169</v>
      </c>
      <c r="B40" s="218">
        <f t="shared" ref="B40:D40" si="34">(((B17)+(B22))+(B36))+(B39)</f>
        <v>177213.9</v>
      </c>
      <c r="C40" s="218">
        <f t="shared" si="34"/>
        <v>302237.04</v>
      </c>
      <c r="D40" s="218">
        <f t="shared" si="34"/>
        <v>0</v>
      </c>
      <c r="E40" s="218">
        <f>SUM(E17+E22+E36)</f>
        <v>479450.94</v>
      </c>
      <c r="F40" s="214" t="str">
        <f t="shared" si="21"/>
        <v>Total Rev</v>
      </c>
      <c r="G40" s="108">
        <f>SUM(G8:G16,G19:G21,G24:G35,G38)</f>
        <v>10820293</v>
      </c>
      <c r="H40" s="224">
        <f t="shared" si="35"/>
        <v>0.04431034723</v>
      </c>
      <c r="I40" s="197"/>
      <c r="J40" s="220">
        <f>SUM(J8:J16,J19:J21,J24:J35,J38)</f>
        <v>0</v>
      </c>
      <c r="K40" s="221" t="str">
        <f t="shared" si="32"/>
        <v/>
      </c>
      <c r="L40" s="204"/>
      <c r="M40" s="220" t="str">
        <f>SUM(M8:M16,M19:M21,M24:M35,M38)</f>
        <v>#NAME?</v>
      </c>
      <c r="N40" s="221" t="str">
        <f t="shared" si="36"/>
        <v/>
      </c>
      <c r="O40" s="197"/>
      <c r="P40" s="108" t="str">
        <f>SUM(P8:P16,P19:P21,P24:P35,P38)</f>
        <v>#NAME?</v>
      </c>
      <c r="Q40" s="112" t="str">
        <f t="shared" si="33"/>
        <v/>
      </c>
      <c r="R40" s="217"/>
    </row>
    <row r="41">
      <c r="A41" s="123"/>
      <c r="B41" s="213"/>
      <c r="C41" s="213"/>
      <c r="D41" s="213"/>
      <c r="E41" s="213"/>
      <c r="F41" s="214"/>
      <c r="G41" s="100"/>
      <c r="H41" s="124"/>
      <c r="I41" s="197"/>
      <c r="J41" s="228"/>
      <c r="K41" s="229"/>
      <c r="L41" s="204"/>
      <c r="M41" s="228"/>
      <c r="N41" s="229"/>
      <c r="O41" s="197"/>
      <c r="P41" s="100"/>
      <c r="Q41" s="124"/>
      <c r="R41" s="197"/>
    </row>
    <row r="42">
      <c r="A42" s="197"/>
      <c r="B42" s="213"/>
      <c r="C42" s="213"/>
      <c r="D42" s="213"/>
      <c r="E42" s="213"/>
      <c r="F42" s="214" t="str">
        <f>LEFT(TRIM(A43),9)</f>
        <v>Expenditu</v>
      </c>
      <c r="G42" s="100"/>
      <c r="H42" s="124" t="str">
        <f t="shared" ref="H42:H66" si="37">IFERROR(E42/G42,"")</f>
        <v/>
      </c>
      <c r="I42" s="197"/>
      <c r="J42" s="228"/>
      <c r="K42" s="229"/>
      <c r="L42" s="204"/>
      <c r="M42" s="228"/>
      <c r="N42" s="229" t="str">
        <f t="shared" ref="N42:N44" si="38">IFERROR(K42/M42,"")</f>
        <v/>
      </c>
      <c r="O42" s="197"/>
      <c r="P42" s="100"/>
      <c r="Q42" s="124"/>
      <c r="R42" s="197"/>
    </row>
    <row r="43">
      <c r="A43" s="230" t="s">
        <v>171</v>
      </c>
      <c r="B43" s="231"/>
      <c r="C43" s="232"/>
      <c r="D43" s="232"/>
      <c r="E43" s="231"/>
      <c r="F43" s="214"/>
      <c r="G43" s="106"/>
      <c r="H43" s="102" t="str">
        <f t="shared" si="37"/>
        <v/>
      </c>
      <c r="I43" s="197"/>
      <c r="J43" s="215"/>
      <c r="K43" s="216"/>
      <c r="L43" s="204"/>
      <c r="M43" s="215"/>
      <c r="N43" s="216" t="str">
        <f t="shared" si="38"/>
        <v/>
      </c>
      <c r="O43" s="197"/>
      <c r="P43" s="106"/>
      <c r="Q43" s="102"/>
      <c r="R43" s="197"/>
    </row>
    <row r="44">
      <c r="A44" s="230" t="s">
        <v>294</v>
      </c>
      <c r="B44" s="212"/>
      <c r="C44" s="213"/>
      <c r="D44" s="213"/>
      <c r="E44" s="212"/>
      <c r="F44" s="214" t="str">
        <f>LEFT(TRIM(A44),9)</f>
        <v>0000-6100</v>
      </c>
      <c r="G44" s="106"/>
      <c r="H44" s="102" t="str">
        <f t="shared" si="37"/>
        <v/>
      </c>
      <c r="I44" s="197"/>
      <c r="J44" s="215"/>
      <c r="K44" s="216"/>
      <c r="L44" s="204"/>
      <c r="M44" s="215"/>
      <c r="N44" s="216" t="str">
        <f t="shared" si="38"/>
        <v/>
      </c>
      <c r="O44" s="197"/>
      <c r="P44" s="106"/>
      <c r="Q44" s="102"/>
      <c r="R44" s="197"/>
    </row>
    <row r="45">
      <c r="A45" s="230" t="s">
        <v>295</v>
      </c>
      <c r="B45" s="212"/>
      <c r="C45" s="213"/>
      <c r="D45" s="213"/>
      <c r="E45" s="212">
        <f t="shared" ref="E45:E70" si="39">SUM(B45:D45)</f>
        <v>0</v>
      </c>
      <c r="F45" s="214"/>
      <c r="G45" s="106"/>
      <c r="H45" s="102" t="str">
        <f t="shared" si="37"/>
        <v/>
      </c>
      <c r="I45" s="197"/>
      <c r="J45" s="215"/>
      <c r="K45" s="216"/>
      <c r="L45" s="204"/>
      <c r="M45" s="215"/>
      <c r="N45" s="216"/>
      <c r="O45" s="197"/>
      <c r="P45" s="106"/>
      <c r="Q45" s="102"/>
      <c r="R45" s="197"/>
    </row>
    <row r="46">
      <c r="A46" s="230" t="s">
        <v>296</v>
      </c>
      <c r="B46" s="212">
        <v>21231.42</v>
      </c>
      <c r="C46" s="213">
        <v>77304.56</v>
      </c>
      <c r="D46" s="213"/>
      <c r="E46" s="212">
        <f t="shared" si="39"/>
        <v>98535.98</v>
      </c>
      <c r="F46" s="214" t="str">
        <f>LEFT(TRIM(A46),9)</f>
        <v>1131-6151</v>
      </c>
      <c r="G46" s="106">
        <v>2673907.0</v>
      </c>
      <c r="H46" s="102">
        <f t="shared" si="37"/>
        <v>0.0368509376</v>
      </c>
      <c r="I46" s="197"/>
      <c r="J46" s="215" t="str">
        <f>IFERROR(__xludf.DUMMYFUNCTION("IFERROR(SUMPRODUCT(FILTER('FY22 Budget'!$F$2:$AC$71,'FY22 Budget'!$C$2:$C$71=$F46),'FY22 Budget'!$F$1:$AC$1&lt;=$K$4),"""")"),"")</f>
        <v/>
      </c>
      <c r="K46" s="216" t="str">
        <f>IFERROR($E46/J46,"")</f>
        <v/>
      </c>
      <c r="L46" s="204"/>
      <c r="M46" s="215" t="str">
        <f>_xludf.IFNA(VLOOKUP($F46,'FY22 Budget Update'!$C:$E,3,FALSE),0)</f>
        <v>#NAME?</v>
      </c>
      <c r="N46" s="216" t="str">
        <f>IFERROR($E46/M46,"")</f>
        <v/>
      </c>
      <c r="O46" s="197"/>
      <c r="P46" s="106" t="str">
        <f>IFERROR(__xludf.DUMMYFUNCTION("IFERROR(SUMPRODUCT(FILTER('FY22 Budget Update'!$F$2:$AC$72,'FY22 Budget Update'!$C$2:$C$72=$F46),'FY22 Budget Update'!$F$1:$AC$1&lt;=$K$4),"""")"),"")</f>
        <v/>
      </c>
      <c r="Q46" s="102" t="str">
        <f>IFERROR($E46/P46,"")</f>
        <v/>
      </c>
      <c r="R46" s="197"/>
    </row>
    <row r="47">
      <c r="A47" s="230" t="s">
        <v>297</v>
      </c>
      <c r="B47" s="212"/>
      <c r="C47" s="213">
        <f>87636.69+240</f>
        <v>87876.69</v>
      </c>
      <c r="D47" s="213"/>
      <c r="E47" s="212">
        <f t="shared" si="39"/>
        <v>87876.69</v>
      </c>
      <c r="F47" s="214"/>
      <c r="G47" s="106">
        <f>2441394</f>
        <v>2441394</v>
      </c>
      <c r="H47" s="102">
        <f t="shared" si="37"/>
        <v>0.03599447283</v>
      </c>
      <c r="I47" s="197"/>
      <c r="J47" s="215"/>
      <c r="K47" s="216"/>
      <c r="L47" s="204"/>
      <c r="M47" s="215"/>
      <c r="N47" s="216"/>
      <c r="O47" s="197"/>
      <c r="P47" s="106"/>
      <c r="Q47" s="102"/>
      <c r="R47" s="197"/>
    </row>
    <row r="48">
      <c r="A48" s="230" t="s">
        <v>298</v>
      </c>
      <c r="B48" s="212">
        <v>11684.94</v>
      </c>
      <c r="C48" s="213">
        <v>5741.71</v>
      </c>
      <c r="D48" s="213"/>
      <c r="E48" s="212">
        <f t="shared" si="39"/>
        <v>17426.65</v>
      </c>
      <c r="F48" s="214" t="str">
        <f>LEFT(TRIM(A48),9)</f>
        <v>1221-6152</v>
      </c>
      <c r="G48" s="106">
        <v>697541.0</v>
      </c>
      <c r="H48" s="102">
        <f t="shared" si="37"/>
        <v>0.02498297591</v>
      </c>
      <c r="I48" s="197"/>
      <c r="J48" s="215" t="str">
        <f>IFERROR(__xludf.DUMMYFUNCTION("IFERROR(SUMPRODUCT(FILTER('FY22 Budget'!$F$2:$AC$71,'FY22 Budget'!$C$2:$C$71=$F48),'FY22 Budget'!$F$1:$AC$1&lt;=$K$4),"""")"),"")</f>
        <v/>
      </c>
      <c r="K48" s="216" t="str">
        <f>IFERROR($E48/J48,"")</f>
        <v/>
      </c>
      <c r="L48" s="204"/>
      <c r="M48" s="215" t="str">
        <f>_xludf.IFNA(VLOOKUP($F48,'FY22 Budget Update'!$C:$E,3,FALSE),0)</f>
        <v>#NAME?</v>
      </c>
      <c r="N48" s="216" t="str">
        <f>IFERROR($E48/M48,"")</f>
        <v/>
      </c>
      <c r="O48" s="197"/>
      <c r="P48" s="106" t="str">
        <f>IFERROR(__xludf.DUMMYFUNCTION("IFERROR(SUMPRODUCT(FILTER('FY22 Budget Update'!$F$2:$AC$72,'FY22 Budget Update'!$C$2:$C$72=$F48),'FY22 Budget Update'!$F$1:$AC$1&lt;=$K$4),"""")"),"")</f>
        <v/>
      </c>
      <c r="Q48" s="102" t="str">
        <f>IFERROR($E48/P48,"")</f>
        <v/>
      </c>
      <c r="R48" s="197"/>
    </row>
    <row r="49">
      <c r="A49" s="230" t="s">
        <v>299</v>
      </c>
      <c r="B49" s="212"/>
      <c r="C49" s="213"/>
      <c r="D49" s="213"/>
      <c r="E49" s="212">
        <f t="shared" si="39"/>
        <v>0</v>
      </c>
      <c r="F49" s="214"/>
      <c r="G49" s="106"/>
      <c r="H49" s="102" t="str">
        <f t="shared" si="37"/>
        <v/>
      </c>
      <c r="I49" s="197"/>
      <c r="J49" s="215"/>
      <c r="K49" s="216"/>
      <c r="L49" s="204"/>
      <c r="M49" s="215"/>
      <c r="N49" s="216"/>
      <c r="O49" s="197"/>
      <c r="P49" s="106"/>
      <c r="Q49" s="102"/>
      <c r="R49" s="197"/>
    </row>
    <row r="50">
      <c r="A50" s="230" t="s">
        <v>300</v>
      </c>
      <c r="B50" s="212"/>
      <c r="C50" s="213"/>
      <c r="D50" s="213"/>
      <c r="E50" s="212">
        <f t="shared" si="39"/>
        <v>0</v>
      </c>
      <c r="F50" s="214"/>
      <c r="G50" s="106"/>
      <c r="H50" s="102" t="str">
        <f t="shared" si="37"/>
        <v/>
      </c>
      <c r="I50" s="197"/>
      <c r="J50" s="215" t="str">
        <f>IFERROR(__xludf.DUMMYFUNCTION("IFERROR(SUMPRODUCT(FILTER('FY22 Budget'!$F$2:$AC$71,'FY22 Budget'!$C$2:$C$71=$F61),'FY22 Budget'!$F$1:$AC$1&lt;=$K$4),"""")"),"")</f>
        <v/>
      </c>
      <c r="K50" s="216" t="str">
        <f>IFERROR($E61/J50,"")</f>
        <v/>
      </c>
      <c r="L50" s="204"/>
      <c r="M50" s="215" t="str">
        <f>_xludf.IFNA(VLOOKUP($F61,'FY22 Budget Update'!$C:$E,3,FALSE),0)</f>
        <v>#NAME?</v>
      </c>
      <c r="N50" s="216" t="str">
        <f>IFERROR($E61/M50,"")</f>
        <v/>
      </c>
      <c r="O50" s="197"/>
      <c r="P50" s="106" t="str">
        <f>IFERROR(__xludf.DUMMYFUNCTION("IFERROR(SUMPRODUCT(FILTER('FY22 Budget Update'!$F$2:$AC$72,'FY22 Budget Update'!$C$2:$C$72=$F61),'FY22 Budget Update'!$F$1:$AC$1&lt;=$K$4),"""")"),"")</f>
        <v/>
      </c>
      <c r="Q50" s="102" t="str">
        <f>IFERROR($E61/P50,"")</f>
        <v/>
      </c>
      <c r="R50" s="197"/>
    </row>
    <row r="51">
      <c r="A51" s="233" t="s">
        <v>301</v>
      </c>
      <c r="B51" s="212">
        <v>1917.23</v>
      </c>
      <c r="C51" s="213"/>
      <c r="D51" s="213"/>
      <c r="E51" s="212">
        <f t="shared" si="39"/>
        <v>1917.23</v>
      </c>
      <c r="F51" s="214"/>
      <c r="G51" s="106"/>
      <c r="H51" s="102" t="str">
        <f t="shared" si="37"/>
        <v/>
      </c>
      <c r="I51" s="197"/>
      <c r="J51" s="215"/>
      <c r="K51" s="216"/>
      <c r="L51" s="204"/>
      <c r="M51" s="215"/>
      <c r="N51" s="216"/>
      <c r="O51" s="197"/>
      <c r="P51" s="106"/>
      <c r="Q51" s="102"/>
      <c r="R51" s="197"/>
    </row>
    <row r="52">
      <c r="A52" s="233" t="s">
        <v>302</v>
      </c>
      <c r="B52" s="212"/>
      <c r="C52" s="213"/>
      <c r="D52" s="213"/>
      <c r="E52" s="212">
        <f t="shared" si="39"/>
        <v>0</v>
      </c>
      <c r="F52" s="214"/>
      <c r="G52" s="106"/>
      <c r="H52" s="102" t="str">
        <f t="shared" si="37"/>
        <v/>
      </c>
      <c r="I52" s="197"/>
      <c r="J52" s="215"/>
      <c r="K52" s="216"/>
      <c r="L52" s="204"/>
      <c r="M52" s="215"/>
      <c r="N52" s="216"/>
      <c r="O52" s="197"/>
      <c r="P52" s="106"/>
      <c r="Q52" s="102"/>
      <c r="R52" s="197"/>
    </row>
    <row r="53">
      <c r="A53" s="233" t="s">
        <v>303</v>
      </c>
      <c r="B53" s="212">
        <v>5751.69</v>
      </c>
      <c r="C53" s="213"/>
      <c r="D53" s="213"/>
      <c r="E53" s="212">
        <f t="shared" si="39"/>
        <v>5751.69</v>
      </c>
      <c r="F53" s="214"/>
      <c r="G53" s="106"/>
      <c r="H53" s="102" t="str">
        <f t="shared" si="37"/>
        <v/>
      </c>
      <c r="I53" s="197"/>
      <c r="J53" s="215"/>
      <c r="K53" s="216"/>
      <c r="L53" s="204"/>
      <c r="M53" s="215"/>
      <c r="N53" s="216"/>
      <c r="O53" s="197"/>
      <c r="P53" s="106"/>
      <c r="Q53" s="102"/>
      <c r="R53" s="197"/>
    </row>
    <row r="54">
      <c r="A54" s="233" t="s">
        <v>304</v>
      </c>
      <c r="B54" s="212"/>
      <c r="C54" s="213">
        <v>9583.34</v>
      </c>
      <c r="D54" s="213"/>
      <c r="E54" s="212">
        <f t="shared" si="39"/>
        <v>9583.34</v>
      </c>
      <c r="F54" s="214"/>
      <c r="G54" s="106"/>
      <c r="H54" s="102" t="str">
        <f t="shared" si="37"/>
        <v/>
      </c>
      <c r="I54" s="197"/>
      <c r="J54" s="215"/>
      <c r="K54" s="216"/>
      <c r="L54" s="204"/>
      <c r="M54" s="215"/>
      <c r="N54" s="216"/>
      <c r="O54" s="197"/>
      <c r="P54" s="106"/>
      <c r="Q54" s="102"/>
      <c r="R54" s="197"/>
    </row>
    <row r="55">
      <c r="A55" s="233" t="s">
        <v>305</v>
      </c>
      <c r="B55" s="212">
        <v>5000.0</v>
      </c>
      <c r="C55" s="213"/>
      <c r="D55" s="213"/>
      <c r="E55" s="212">
        <f t="shared" si="39"/>
        <v>5000</v>
      </c>
      <c r="F55" s="214"/>
      <c r="G55" s="106"/>
      <c r="H55" s="102" t="str">
        <f t="shared" si="37"/>
        <v/>
      </c>
      <c r="I55" s="197"/>
      <c r="J55" s="215"/>
      <c r="K55" s="216"/>
      <c r="L55" s="204"/>
      <c r="M55" s="215"/>
      <c r="N55" s="216"/>
      <c r="O55" s="197"/>
      <c r="P55" s="106"/>
      <c r="Q55" s="102"/>
      <c r="R55" s="197"/>
    </row>
    <row r="56">
      <c r="A56" s="230" t="s">
        <v>306</v>
      </c>
      <c r="B56" s="212">
        <v>2291.67</v>
      </c>
      <c r="C56" s="234"/>
      <c r="D56" s="234"/>
      <c r="E56" s="212">
        <f t="shared" si="39"/>
        <v>2291.67</v>
      </c>
      <c r="F56" s="214"/>
      <c r="G56" s="106"/>
      <c r="H56" s="102" t="str">
        <f t="shared" si="37"/>
        <v/>
      </c>
      <c r="I56" s="197"/>
      <c r="J56" s="235"/>
      <c r="K56" s="236"/>
      <c r="L56" s="204"/>
      <c r="M56" s="235"/>
      <c r="N56" s="236"/>
      <c r="O56" s="197"/>
      <c r="P56" s="134"/>
      <c r="Q56" s="137"/>
      <c r="R56" s="197"/>
    </row>
    <row r="57">
      <c r="A57" s="233" t="s">
        <v>307</v>
      </c>
      <c r="B57" s="212">
        <v>8696.87</v>
      </c>
      <c r="C57" s="213"/>
      <c r="D57" s="213"/>
      <c r="E57" s="212">
        <f t="shared" si="39"/>
        <v>8696.87</v>
      </c>
      <c r="F57" s="214"/>
      <c r="G57" s="106"/>
      <c r="H57" s="102" t="str">
        <f t="shared" si="37"/>
        <v/>
      </c>
      <c r="I57" s="197"/>
      <c r="J57" s="215"/>
      <c r="K57" s="216"/>
      <c r="L57" s="204"/>
      <c r="M57" s="215"/>
      <c r="N57" s="216"/>
      <c r="O57" s="197"/>
      <c r="P57" s="106"/>
      <c r="Q57" s="102"/>
      <c r="R57" s="197"/>
    </row>
    <row r="58">
      <c r="A58" s="233" t="s">
        <v>308</v>
      </c>
      <c r="B58" s="212">
        <v>29256.13</v>
      </c>
      <c r="C58" s="213"/>
      <c r="D58" s="213"/>
      <c r="E58" s="212">
        <f t="shared" si="39"/>
        <v>29256.13</v>
      </c>
      <c r="F58" s="214"/>
      <c r="G58" s="106"/>
      <c r="H58" s="102" t="str">
        <f t="shared" si="37"/>
        <v/>
      </c>
      <c r="I58" s="197"/>
      <c r="J58" s="215"/>
      <c r="K58" s="216"/>
      <c r="L58" s="204"/>
      <c r="M58" s="215"/>
      <c r="N58" s="216"/>
      <c r="O58" s="197"/>
      <c r="P58" s="106"/>
      <c r="Q58" s="102"/>
      <c r="R58" s="197"/>
    </row>
    <row r="59">
      <c r="A59" s="233" t="s">
        <v>309</v>
      </c>
      <c r="B59" s="212"/>
      <c r="C59" s="213">
        <v>4958.34</v>
      </c>
      <c r="D59" s="213"/>
      <c r="E59" s="212">
        <f t="shared" si="39"/>
        <v>4958.34</v>
      </c>
      <c r="F59" s="214"/>
      <c r="G59" s="106"/>
      <c r="H59" s="102" t="str">
        <f t="shared" si="37"/>
        <v/>
      </c>
      <c r="I59" s="197"/>
      <c r="J59" s="204"/>
      <c r="K59" s="204"/>
      <c r="L59" s="204"/>
      <c r="M59" s="204"/>
      <c r="N59" s="204"/>
      <c r="O59" s="197"/>
      <c r="P59" s="197"/>
      <c r="Q59" s="197"/>
      <c r="R59" s="197"/>
    </row>
    <row r="60">
      <c r="A60" s="233" t="s">
        <v>310</v>
      </c>
      <c r="B60" s="212">
        <v>19583.33</v>
      </c>
      <c r="C60" s="213"/>
      <c r="D60" s="213"/>
      <c r="E60" s="212">
        <f t="shared" si="39"/>
        <v>19583.33</v>
      </c>
      <c r="F60" s="214" t="str">
        <f>LEFT(TRIM(A50),9)</f>
        <v>1411-6131</v>
      </c>
      <c r="G60" s="106"/>
      <c r="H60" s="102" t="str">
        <f t="shared" si="37"/>
        <v/>
      </c>
      <c r="I60" s="197"/>
      <c r="J60" s="204"/>
      <c r="K60" s="204"/>
      <c r="L60" s="204"/>
      <c r="M60" s="204"/>
      <c r="N60" s="204"/>
      <c r="O60" s="197"/>
      <c r="P60" s="197"/>
      <c r="Q60" s="237">
        <f>SUM(G70+G76)</f>
        <v>0</v>
      </c>
      <c r="R60" s="197"/>
    </row>
    <row r="61">
      <c r="A61" s="233" t="s">
        <v>311</v>
      </c>
      <c r="B61" s="212">
        <v>8135.17</v>
      </c>
      <c r="C61" s="213"/>
      <c r="D61" s="213"/>
      <c r="E61" s="212">
        <f t="shared" si="39"/>
        <v>8135.17</v>
      </c>
      <c r="F61" s="214"/>
      <c r="G61" s="106"/>
      <c r="H61" s="102" t="str">
        <f t="shared" si="37"/>
        <v/>
      </c>
      <c r="I61" s="197"/>
      <c r="J61" s="215"/>
      <c r="K61" s="216"/>
      <c r="L61" s="204"/>
      <c r="M61" s="215"/>
      <c r="N61" s="216"/>
      <c r="O61" s="197"/>
      <c r="P61" s="106"/>
      <c r="Q61" s="102"/>
      <c r="R61" s="197"/>
    </row>
    <row r="62">
      <c r="A62" s="230" t="s">
        <v>312</v>
      </c>
      <c r="B62" s="212">
        <v>48279.16</v>
      </c>
      <c r="C62" s="234"/>
      <c r="D62" s="234"/>
      <c r="E62" s="212">
        <f t="shared" si="39"/>
        <v>48279.16</v>
      </c>
      <c r="F62" s="214"/>
      <c r="G62" s="106"/>
      <c r="H62" s="102" t="str">
        <f t="shared" si="37"/>
        <v/>
      </c>
      <c r="I62" s="197"/>
      <c r="J62" s="235"/>
      <c r="K62" s="236"/>
      <c r="L62" s="204"/>
      <c r="M62" s="235"/>
      <c r="N62" s="236"/>
      <c r="O62" s="197"/>
      <c r="P62" s="134"/>
      <c r="Q62" s="137"/>
      <c r="R62" s="197"/>
    </row>
    <row r="63">
      <c r="A63" s="230" t="s">
        <v>313</v>
      </c>
      <c r="B63" s="212"/>
      <c r="C63" s="234"/>
      <c r="D63" s="234"/>
      <c r="E63" s="212">
        <f t="shared" si="39"/>
        <v>0</v>
      </c>
      <c r="F63" s="214"/>
      <c r="G63" s="106"/>
      <c r="H63" s="102" t="str">
        <f t="shared" si="37"/>
        <v/>
      </c>
      <c r="I63" s="197"/>
      <c r="J63" s="235"/>
      <c r="K63" s="236"/>
      <c r="L63" s="204"/>
      <c r="M63" s="235"/>
      <c r="N63" s="236"/>
      <c r="O63" s="197"/>
      <c r="P63" s="134"/>
      <c r="Q63" s="137"/>
      <c r="R63" s="197"/>
    </row>
    <row r="64">
      <c r="A64" s="233" t="s">
        <v>314</v>
      </c>
      <c r="B64" s="212">
        <f>5000+8875</f>
        <v>13875</v>
      </c>
      <c r="C64" s="213">
        <v>26250.0</v>
      </c>
      <c r="D64" s="213"/>
      <c r="E64" s="212">
        <f t="shared" si="39"/>
        <v>40125</v>
      </c>
      <c r="F64" s="214"/>
      <c r="G64" s="106"/>
      <c r="H64" s="102" t="str">
        <f t="shared" si="37"/>
        <v/>
      </c>
      <c r="I64" s="197"/>
      <c r="J64" s="215"/>
      <c r="K64" s="216"/>
      <c r="L64" s="204"/>
      <c r="M64" s="215"/>
      <c r="N64" s="216"/>
      <c r="O64" s="197"/>
      <c r="P64" s="106"/>
      <c r="Q64" s="102"/>
      <c r="R64" s="197"/>
    </row>
    <row r="65">
      <c r="A65" s="230" t="s">
        <v>315</v>
      </c>
      <c r="B65" s="212"/>
      <c r="C65" s="234"/>
      <c r="D65" s="234"/>
      <c r="E65" s="212">
        <f t="shared" si="39"/>
        <v>0</v>
      </c>
      <c r="F65" s="214"/>
      <c r="G65" s="106"/>
      <c r="H65" s="102" t="str">
        <f t="shared" si="37"/>
        <v/>
      </c>
      <c r="I65" s="197"/>
      <c r="J65" s="235"/>
      <c r="K65" s="236"/>
      <c r="L65" s="204"/>
      <c r="M65" s="235"/>
      <c r="N65" s="236"/>
      <c r="O65" s="197"/>
      <c r="P65" s="134"/>
      <c r="Q65" s="137"/>
      <c r="R65" s="197"/>
    </row>
    <row r="66">
      <c r="A66" s="230" t="s">
        <v>316</v>
      </c>
      <c r="B66" s="212">
        <v>19285.1</v>
      </c>
      <c r="C66" s="234"/>
      <c r="D66" s="234"/>
      <c r="E66" s="212">
        <f t="shared" si="39"/>
        <v>19285.1</v>
      </c>
      <c r="F66" s="214"/>
      <c r="G66" s="106"/>
      <c r="H66" s="102" t="str">
        <f t="shared" si="37"/>
        <v/>
      </c>
      <c r="I66" s="197"/>
      <c r="J66" s="235"/>
      <c r="K66" s="236"/>
      <c r="L66" s="204"/>
      <c r="M66" s="235"/>
      <c r="N66" s="236"/>
      <c r="O66" s="197"/>
      <c r="P66" s="134"/>
      <c r="Q66" s="137"/>
      <c r="R66" s="197"/>
    </row>
    <row r="67">
      <c r="A67" s="230" t="s">
        <v>317</v>
      </c>
      <c r="B67" s="212">
        <v>11666.66</v>
      </c>
      <c r="C67" s="234"/>
      <c r="D67" s="234"/>
      <c r="E67" s="212">
        <f t="shared" si="39"/>
        <v>11666.66</v>
      </c>
      <c r="F67" s="214"/>
      <c r="G67" s="106"/>
      <c r="H67" s="137"/>
      <c r="I67" s="197"/>
      <c r="J67" s="235"/>
      <c r="K67" s="236"/>
      <c r="L67" s="204"/>
      <c r="M67" s="235"/>
      <c r="N67" s="236"/>
      <c r="O67" s="197"/>
      <c r="P67" s="134"/>
      <c r="Q67" s="137"/>
      <c r="R67" s="197"/>
    </row>
    <row r="68">
      <c r="A68" s="230" t="s">
        <v>318</v>
      </c>
      <c r="B68" s="212">
        <v>3750.0</v>
      </c>
      <c r="C68" s="234"/>
      <c r="D68" s="234"/>
      <c r="E68" s="212">
        <f t="shared" si="39"/>
        <v>3750</v>
      </c>
      <c r="F68" s="214"/>
      <c r="G68" s="106"/>
      <c r="H68" s="137" t="str">
        <f t="shared" ref="H68:H70" si="40">IFERROR(E68/G68,"")</f>
        <v/>
      </c>
      <c r="I68" s="197"/>
      <c r="J68" s="235"/>
      <c r="K68" s="236"/>
      <c r="L68" s="204"/>
      <c r="M68" s="235"/>
      <c r="N68" s="236"/>
      <c r="O68" s="197"/>
      <c r="P68" s="134"/>
      <c r="Q68" s="137"/>
      <c r="R68" s="197"/>
    </row>
    <row r="69">
      <c r="A69" s="238" t="s">
        <v>319</v>
      </c>
      <c r="B69" s="239">
        <v>6518.0</v>
      </c>
      <c r="C69" s="217"/>
      <c r="D69" s="217"/>
      <c r="E69" s="239">
        <f t="shared" si="39"/>
        <v>6518</v>
      </c>
      <c r="F69" s="197"/>
      <c r="G69" s="237"/>
      <c r="H69" s="198" t="str">
        <f t="shared" si="40"/>
        <v/>
      </c>
      <c r="I69" s="197"/>
      <c r="J69" s="240"/>
      <c r="K69" s="241"/>
      <c r="L69" s="205"/>
      <c r="M69" s="240"/>
      <c r="N69" s="241"/>
      <c r="O69" s="197"/>
      <c r="P69" s="242"/>
      <c r="Q69" s="243"/>
      <c r="R69" s="197"/>
    </row>
    <row r="70">
      <c r="A70" s="230" t="s">
        <v>320</v>
      </c>
      <c r="B70" s="244">
        <v>360.0</v>
      </c>
      <c r="C70" s="245"/>
      <c r="D70" s="245"/>
      <c r="E70" s="244">
        <f t="shared" si="39"/>
        <v>360</v>
      </c>
      <c r="F70" s="197"/>
      <c r="G70" s="246"/>
      <c r="H70" s="154" t="str">
        <f t="shared" si="40"/>
        <v/>
      </c>
      <c r="I70" s="197"/>
      <c r="J70" s="235"/>
      <c r="K70" s="236"/>
      <c r="L70" s="204"/>
      <c r="M70" s="235"/>
      <c r="N70" s="236"/>
      <c r="O70" s="197"/>
      <c r="P70" s="134"/>
      <c r="Q70" s="137"/>
      <c r="R70" s="197"/>
    </row>
    <row r="71">
      <c r="A71" s="230" t="s">
        <v>321</v>
      </c>
      <c r="B71" s="234">
        <f t="shared" ref="B71:C71" si="41">SUM(B45:B70)</f>
        <v>217282.37</v>
      </c>
      <c r="C71" s="234">
        <f t="shared" si="41"/>
        <v>211714.64</v>
      </c>
      <c r="D71" s="234">
        <f>SUM(D45:D61)</f>
        <v>0</v>
      </c>
      <c r="E71" s="234">
        <f>SUM(E45:E70)</f>
        <v>428997.01</v>
      </c>
      <c r="F71" s="197"/>
      <c r="G71" s="134">
        <f>SUM(G45:G70)</f>
        <v>5812842</v>
      </c>
      <c r="H71" s="247">
        <f>IFERROR($E71/G71,"")</f>
        <v>0.07380159481</v>
      </c>
      <c r="I71" s="197"/>
      <c r="J71" s="220">
        <f>SUM(J45:J48)</f>
        <v>0</v>
      </c>
      <c r="K71" s="221" t="str">
        <f>IFERROR($E71/J71,"")</f>
        <v/>
      </c>
      <c r="L71" s="204"/>
      <c r="M71" s="220" t="str">
        <f>SUM(M45:M48)</f>
        <v>#NAME?</v>
      </c>
      <c r="N71" s="221" t="str">
        <f>IFERROR($E71/M71,"")</f>
        <v/>
      </c>
      <c r="O71" s="197"/>
      <c r="P71" s="108">
        <f>SUM(P45:P48)</f>
        <v>0</v>
      </c>
      <c r="Q71" s="112" t="str">
        <f>IFERROR($E71/P71,"")</f>
        <v/>
      </c>
      <c r="R71" s="197"/>
    </row>
    <row r="72">
      <c r="A72" s="230" t="s">
        <v>322</v>
      </c>
      <c r="B72" s="213"/>
      <c r="C72" s="213"/>
      <c r="D72" s="213"/>
      <c r="E72" s="212"/>
      <c r="F72" s="197"/>
      <c r="G72" s="106"/>
      <c r="H72" s="102"/>
      <c r="I72" s="197"/>
      <c r="J72" s="215"/>
      <c r="K72" s="216"/>
      <c r="L72" s="204"/>
      <c r="M72" s="215"/>
      <c r="N72" s="216" t="str">
        <f>IFERROR(K72/M72,"")</f>
        <v/>
      </c>
      <c r="O72" s="197"/>
      <c r="P72" s="106"/>
      <c r="Q72" s="102"/>
      <c r="R72" s="197"/>
    </row>
    <row r="73" outlineLevel="1">
      <c r="A73" s="230" t="s">
        <v>323</v>
      </c>
      <c r="B73" s="212">
        <v>30179.65</v>
      </c>
      <c r="C73" s="248">
        <f>32916.54+22387.28</f>
        <v>55303.82</v>
      </c>
      <c r="D73" s="213"/>
      <c r="E73" s="234">
        <f t="shared" ref="E73:E76" si="42">SUM(B73:D73)</f>
        <v>85483.47</v>
      </c>
      <c r="F73" s="197"/>
      <c r="G73" s="106"/>
      <c r="H73" s="102" t="str">
        <f t="shared" ref="H73:H76" si="43">IFERROR(E73/G73,"")</f>
        <v/>
      </c>
      <c r="I73" s="197"/>
      <c r="J73" s="215" t="str">
        <f>IFERROR(__xludf.DUMMYFUNCTION("IFERROR(SUMPRODUCT(FILTER('FY22 Budget'!$F$2:$AC$71,'FY22 Budget'!$C$2:$C$71=$F73),'FY22 Budget'!$F$1:$AC$1&lt;=$K$4),"""")"),"")</f>
        <v/>
      </c>
      <c r="K73" s="216" t="str">
        <f t="shared" ref="K73:K77" si="44">IFERROR($E73/J73,"")</f>
        <v/>
      </c>
      <c r="L73" s="204"/>
      <c r="M73" s="215" t="str">
        <f>_xludf.IFNA(VLOOKUP($F73,'FY22 Budget Update'!$C:$E,3,FALSE),0)</f>
        <v>#NAME?</v>
      </c>
      <c r="N73" s="216" t="str">
        <f t="shared" ref="N73:N77" si="45">IFERROR($E73/M73,"")</f>
        <v/>
      </c>
      <c r="O73" s="197"/>
      <c r="P73" s="106" t="str">
        <f>IFERROR(__xludf.DUMMYFUNCTION("IFERROR(SUMPRODUCT(FILTER('FY22 Budget Update'!$F$2:$AC$72,'FY22 Budget Update'!$C$2:$C$72=$F73),'FY22 Budget Update'!$F$1:$AC$1&lt;=$K$4),"""")"),"")</f>
        <v/>
      </c>
      <c r="Q73" s="102" t="str">
        <f t="shared" ref="Q73:Q77" si="46">IFERROR($E73/P73,"")</f>
        <v/>
      </c>
      <c r="R73" s="197"/>
    </row>
    <row r="74" outlineLevel="1">
      <c r="A74" s="230" t="s">
        <v>324</v>
      </c>
      <c r="B74" s="212">
        <v>13193.08</v>
      </c>
      <c r="C74" s="213">
        <v>14098.51</v>
      </c>
      <c r="D74" s="213"/>
      <c r="E74" s="234">
        <f t="shared" si="42"/>
        <v>27291.59</v>
      </c>
      <c r="F74" s="197"/>
      <c r="G74" s="106"/>
      <c r="H74" s="102" t="str">
        <f t="shared" si="43"/>
        <v/>
      </c>
      <c r="I74" s="197"/>
      <c r="J74" s="215" t="str">
        <f>IFERROR(__xludf.DUMMYFUNCTION("IFERROR(SUMPRODUCT(FILTER('FY22 Budget'!$F$2:$AC$71,'FY22 Budget'!$C$2:$C$71=$F74),'FY22 Budget'!$F$1:$AC$1&lt;=$K$4),"""")"),"")</f>
        <v/>
      </c>
      <c r="K74" s="216" t="str">
        <f t="shared" si="44"/>
        <v/>
      </c>
      <c r="L74" s="204"/>
      <c r="M74" s="215" t="str">
        <f>_xludf.IFNA(VLOOKUP($F74,'FY22 Budget Update'!$C:$E,3,FALSE),0)</f>
        <v>#NAME?</v>
      </c>
      <c r="N74" s="216" t="str">
        <f t="shared" si="45"/>
        <v/>
      </c>
      <c r="O74" s="197"/>
      <c r="P74" s="106" t="str">
        <f>IFERROR(__xludf.DUMMYFUNCTION("IFERROR(SUMPRODUCT(FILTER('FY22 Budget Update'!$F$2:$AC$72,'FY22 Budget Update'!$C$2:$C$72=$F74),'FY22 Budget Update'!$F$1:$AC$1&lt;=$K$4),"""")"),"")</f>
        <v/>
      </c>
      <c r="Q74" s="102" t="str">
        <f t="shared" si="46"/>
        <v/>
      </c>
      <c r="R74" s="197"/>
    </row>
    <row r="75" outlineLevel="1">
      <c r="A75" s="230" t="s">
        <v>325</v>
      </c>
      <c r="B75" s="212">
        <v>3085.47</v>
      </c>
      <c r="C75" s="213">
        <v>3297.22</v>
      </c>
      <c r="D75" s="213"/>
      <c r="E75" s="234">
        <f t="shared" si="42"/>
        <v>6382.69</v>
      </c>
      <c r="F75" s="197"/>
      <c r="G75" s="106"/>
      <c r="H75" s="102" t="str">
        <f t="shared" si="43"/>
        <v/>
      </c>
      <c r="I75" s="197"/>
      <c r="J75" s="215" t="str">
        <f>IFERROR(__xludf.DUMMYFUNCTION("IFERROR(SUMPRODUCT(FILTER('FY22 Budget'!$F$2:$AC$71,'FY22 Budget'!$C$2:$C$71=$F75),'FY22 Budget'!$F$1:$AC$1&lt;=$K$4),"""")"),"")</f>
        <v/>
      </c>
      <c r="K75" s="216" t="str">
        <f t="shared" si="44"/>
        <v/>
      </c>
      <c r="L75" s="204"/>
      <c r="M75" s="215" t="str">
        <f>_xludf.IFNA(VLOOKUP($F75,'FY22 Budget Update'!$C:$E,3,FALSE),0)</f>
        <v>#NAME?</v>
      </c>
      <c r="N75" s="216" t="str">
        <f t="shared" si="45"/>
        <v/>
      </c>
      <c r="O75" s="197"/>
      <c r="P75" s="106" t="str">
        <f>IFERROR(__xludf.DUMMYFUNCTION("IFERROR(SUMPRODUCT(FILTER('FY22 Budget Update'!$F$2:$AC$72,'FY22 Budget Update'!$C$2:$C$72=$F75),'FY22 Budget Update'!$F$1:$AC$1&lt;=$K$4),"""")"),"")</f>
        <v/>
      </c>
      <c r="Q75" s="102" t="str">
        <f t="shared" si="46"/>
        <v/>
      </c>
      <c r="R75" s="197"/>
    </row>
    <row r="76" outlineLevel="1">
      <c r="A76" s="230" t="s">
        <v>444</v>
      </c>
      <c r="B76" s="212">
        <f>12275.48+14096+16132.14</f>
        <v>42503.62</v>
      </c>
      <c r="C76" s="213">
        <v>17822.85</v>
      </c>
      <c r="D76" s="213"/>
      <c r="E76" s="234">
        <f t="shared" si="42"/>
        <v>60326.47</v>
      </c>
      <c r="F76" s="197"/>
      <c r="G76" s="106"/>
      <c r="H76" s="102" t="str">
        <f t="shared" si="43"/>
        <v/>
      </c>
      <c r="I76" s="197"/>
      <c r="J76" s="215" t="str">
        <f>IFERROR(__xludf.DUMMYFUNCTION("IFERROR(SUMPRODUCT(FILTER('FY22 Budget'!$F$2:$AC$71,'FY22 Budget'!$C$2:$C$71=$F76),'FY22 Budget'!$F$1:$AC$1&lt;=$K$4),"""")"),"")</f>
        <v/>
      </c>
      <c r="K76" s="216" t="str">
        <f t="shared" si="44"/>
        <v/>
      </c>
      <c r="L76" s="204"/>
      <c r="M76" s="215" t="str">
        <f>_xludf.IFNA(VLOOKUP($F76,'FY22 Budget Update'!$C:$E,3,FALSE),0)</f>
        <v>#NAME?</v>
      </c>
      <c r="N76" s="216" t="str">
        <f t="shared" si="45"/>
        <v/>
      </c>
      <c r="O76" s="197"/>
      <c r="P76" s="106" t="str">
        <f>IFERROR(__xludf.DUMMYFUNCTION("IFERROR(SUMPRODUCT(FILTER('FY22 Budget Update'!$F$2:$AC$72,'FY22 Budget Update'!$C$2:$C$72=$F76),'FY22 Budget Update'!$F$1:$AC$1&lt;=$K$4),"""")"),"")</f>
        <v/>
      </c>
      <c r="Q76" s="102" t="str">
        <f t="shared" si="46"/>
        <v/>
      </c>
      <c r="R76" s="197"/>
    </row>
    <row r="77">
      <c r="A77" s="230" t="s">
        <v>327</v>
      </c>
      <c r="B77" s="218">
        <f t="shared" ref="B77:C77" si="47">SUM(B73:B76)</f>
        <v>88961.82</v>
      </c>
      <c r="C77" s="218">
        <f t="shared" si="47"/>
        <v>90522.4</v>
      </c>
      <c r="D77" s="218">
        <f>((((D72)+(D73))+(D74))+(D75))+(D76)</f>
        <v>0</v>
      </c>
      <c r="E77" s="218">
        <f>SUM(E73:E76)</f>
        <v>179484.22</v>
      </c>
      <c r="F77" s="197"/>
      <c r="G77" s="108">
        <v>1748572.0</v>
      </c>
      <c r="H77" s="224">
        <f>IFERROR($E77/G77,"")</f>
        <v>0.1026461707</v>
      </c>
      <c r="I77" s="197"/>
      <c r="J77" s="220">
        <f>SUM(J73:J76)</f>
        <v>0</v>
      </c>
      <c r="K77" s="221" t="str">
        <f t="shared" si="44"/>
        <v/>
      </c>
      <c r="L77" s="204"/>
      <c r="M77" s="220" t="str">
        <f>SUM(M73:M76)</f>
        <v>#NAME?</v>
      </c>
      <c r="N77" s="221" t="str">
        <f t="shared" si="45"/>
        <v/>
      </c>
      <c r="O77" s="197"/>
      <c r="P77" s="108">
        <f>SUM(P73:P76)</f>
        <v>0</v>
      </c>
      <c r="Q77" s="112" t="str">
        <f t="shared" si="46"/>
        <v/>
      </c>
      <c r="R77" s="197"/>
    </row>
    <row r="78" outlineLevel="1">
      <c r="A78" s="249" t="s">
        <v>328</v>
      </c>
      <c r="B78" s="213"/>
      <c r="C78" s="213"/>
      <c r="D78" s="213"/>
      <c r="E78" s="212"/>
      <c r="F78" s="214" t="str">
        <f t="shared" ref="F78:F80" si="48">LEFT(TRIM(A78),9)</f>
        <v>0000-6XXX</v>
      </c>
      <c r="G78" s="106"/>
      <c r="H78" s="102" t="str">
        <f t="shared" ref="H78:H83" si="49">IFERROR(E78/G78,"")</f>
        <v/>
      </c>
      <c r="I78" s="197"/>
      <c r="J78" s="215"/>
      <c r="K78" s="216"/>
      <c r="L78" s="204"/>
      <c r="M78" s="215"/>
      <c r="N78" s="216" t="str">
        <f>IFERROR(K78/M78,"")</f>
        <v/>
      </c>
      <c r="O78" s="197"/>
      <c r="P78" s="106"/>
      <c r="Q78" s="102"/>
      <c r="R78" s="197"/>
    </row>
    <row r="79" outlineLevel="1">
      <c r="A79" s="249" t="s">
        <v>329</v>
      </c>
      <c r="B79" s="222">
        <v>4800.0</v>
      </c>
      <c r="C79" s="213"/>
      <c r="D79" s="213"/>
      <c r="E79" s="212">
        <f t="shared" ref="E79:E86" si="50">SUM(B79:D79)</f>
        <v>4800</v>
      </c>
      <c r="F79" s="214" t="str">
        <f t="shared" si="48"/>
        <v>2213-6319</v>
      </c>
      <c r="G79" s="106"/>
      <c r="H79" s="102" t="str">
        <f t="shared" si="49"/>
        <v/>
      </c>
      <c r="I79" s="197"/>
      <c r="J79" s="215">
        <f>IFERROR(__xludf.DUMMYFUNCTION("IFERROR(SUMPRODUCT(FILTER('FY22 Budget'!$F$2:$AC$71,'FY22 Budget'!$C$2:$C$71=$F79),'FY22 Budget'!$F$1:$AC$1&lt;=$K$4),"""")"),0.0)</f>
        <v>0</v>
      </c>
      <c r="K79" s="216" t="str">
        <f t="shared" ref="K79:K80" si="51">IFERROR($E79/J79,"")</f>
        <v/>
      </c>
      <c r="L79" s="204"/>
      <c r="M79" s="215" t="str">
        <f>_xludf.IFNA(VLOOKUP($F79,'FY22 Budget Update'!$C:$E,3,FALSE),0)</f>
        <v>#NAME?</v>
      </c>
      <c r="N79" s="216" t="str">
        <f t="shared" ref="N79:N80" si="52">IFERROR($E79/M79,"")</f>
        <v/>
      </c>
      <c r="O79" s="197"/>
      <c r="P79" s="106">
        <f>IFERROR(__xludf.DUMMYFUNCTION("IFERROR(SUMPRODUCT(FILTER('FY22 Budget Update'!$F$2:$AC$72,'FY22 Budget Update'!$C$2:$C$72=$F79),'FY22 Budget Update'!$F$1:$AC$1&lt;=$K$4),"""")"),0.0)</f>
        <v>0</v>
      </c>
      <c r="Q79" s="102" t="str">
        <f t="shared" ref="Q79:Q80" si="53">IFERROR($E79/P79,"")</f>
        <v/>
      </c>
      <c r="R79" s="197"/>
    </row>
    <row r="80" outlineLevel="1">
      <c r="A80" s="249" t="s">
        <v>330</v>
      </c>
      <c r="B80" s="222">
        <v>1216.2</v>
      </c>
      <c r="C80" s="213"/>
      <c r="D80" s="213"/>
      <c r="E80" s="212">
        <f t="shared" si="50"/>
        <v>1216.2</v>
      </c>
      <c r="F80" s="214" t="str">
        <f t="shared" si="48"/>
        <v>2213-6343</v>
      </c>
      <c r="G80" s="106"/>
      <c r="H80" s="102" t="str">
        <f t="shared" si="49"/>
        <v/>
      </c>
      <c r="I80" s="197"/>
      <c r="J80" s="215">
        <f>IFERROR(__xludf.DUMMYFUNCTION("IFERROR(SUMPRODUCT(FILTER('FY22 Budget'!$F$2:$AC$71,'FY22 Budget'!$C$2:$C$71=$F80),'FY22 Budget'!$F$1:$AC$1&lt;=$K$4),"""")"),0.0)</f>
        <v>0</v>
      </c>
      <c r="K80" s="216" t="str">
        <f t="shared" si="51"/>
        <v/>
      </c>
      <c r="L80" s="204"/>
      <c r="M80" s="215" t="str">
        <f>_xludf.IFNA(VLOOKUP($F80,'FY22 Budget Update'!$C:$E,3,FALSE),0)</f>
        <v>#NAME?</v>
      </c>
      <c r="N80" s="216" t="str">
        <f t="shared" si="52"/>
        <v/>
      </c>
      <c r="O80" s="197"/>
      <c r="P80" s="106">
        <f>IFERROR(__xludf.DUMMYFUNCTION("IFERROR(SUMPRODUCT(FILTER('FY22 Budget Update'!$F$2:$AC$72,'FY22 Budget Update'!$C$2:$C$72=$F80),'FY22 Budget Update'!$F$1:$AC$1&lt;=$K$4),"""")"),0.0)</f>
        <v>0</v>
      </c>
      <c r="Q80" s="102" t="str">
        <f t="shared" si="53"/>
        <v/>
      </c>
      <c r="R80" s="197"/>
    </row>
    <row r="81" outlineLevel="1">
      <c r="A81" s="249" t="s">
        <v>331</v>
      </c>
      <c r="B81" s="222">
        <v>107.15</v>
      </c>
      <c r="C81" s="213"/>
      <c r="D81" s="213"/>
      <c r="E81" s="212">
        <f t="shared" si="50"/>
        <v>107.15</v>
      </c>
      <c r="F81" s="214"/>
      <c r="G81" s="106"/>
      <c r="H81" s="102" t="str">
        <f t="shared" si="49"/>
        <v/>
      </c>
      <c r="I81" s="197"/>
      <c r="J81" s="215"/>
      <c r="K81" s="216"/>
      <c r="L81" s="204"/>
      <c r="M81" s="215"/>
      <c r="N81" s="216"/>
      <c r="O81" s="204"/>
      <c r="P81" s="215"/>
      <c r="Q81" s="216"/>
      <c r="R81" s="197"/>
    </row>
    <row r="82" outlineLevel="1">
      <c r="A82" s="249" t="s">
        <v>332</v>
      </c>
      <c r="B82" s="222"/>
      <c r="C82" s="213"/>
      <c r="D82" s="213"/>
      <c r="E82" s="212">
        <f t="shared" si="50"/>
        <v>0</v>
      </c>
      <c r="F82" s="214" t="str">
        <f t="shared" ref="F82:F83" si="54">LEFT(TRIM(A82),9)</f>
        <v>2323-6319</v>
      </c>
      <c r="G82" s="106"/>
      <c r="H82" s="102" t="str">
        <f t="shared" si="49"/>
        <v/>
      </c>
      <c r="I82" s="197"/>
      <c r="J82" s="215" t="str">
        <f>IFERROR(__xludf.DUMMYFUNCTION("IFERROR(SUMPRODUCT(FILTER('FY22 Budget'!$F$2:$AC$71,'FY22 Budget'!$C$2:$C$71=$F82),'FY22 Budget'!$F$1:$AC$1&lt;=$K$4),"""")"),"")</f>
        <v/>
      </c>
      <c r="K82" s="216" t="str">
        <f t="shared" ref="K82:K83" si="55">IFERROR($E82/J82,"")</f>
        <v/>
      </c>
      <c r="L82" s="204"/>
      <c r="M82" s="215" t="str">
        <f>_xludf.IFNA(VLOOKUP($F82,'FY22 Budget Update'!$C:$E,3,FALSE),0)</f>
        <v>#NAME?</v>
      </c>
      <c r="N82" s="216" t="str">
        <f>IFERROR(K82/M82,"")</f>
        <v/>
      </c>
      <c r="O82" s="204"/>
      <c r="P82" s="215" t="str">
        <f>IFERROR(__xludf.DUMMYFUNCTION("IFERROR(SUMPRODUCT(FILTER('FY22 Budget Update'!$F$2:$AC$72,'FY22 Budget Update'!$C$2:$C$72=$F82),'FY22 Budget Update'!$F$1:$AC$1&lt;=$K$4),"""")"),"")</f>
        <v/>
      </c>
      <c r="Q82" s="216" t="str">
        <f t="shared" ref="Q82:Q83" si="56">IFERROR($E82/P82,"")</f>
        <v/>
      </c>
      <c r="R82" s="197"/>
    </row>
    <row r="83" outlineLevel="1">
      <c r="A83" s="249" t="s">
        <v>333</v>
      </c>
      <c r="B83" s="222"/>
      <c r="C83" s="213"/>
      <c r="D83" s="213"/>
      <c r="E83" s="212">
        <f t="shared" si="50"/>
        <v>0</v>
      </c>
      <c r="F83" s="214" t="str">
        <f t="shared" si="54"/>
        <v>2323-6411</v>
      </c>
      <c r="G83" s="106"/>
      <c r="H83" s="102" t="str">
        <f t="shared" si="49"/>
        <v/>
      </c>
      <c r="I83" s="197"/>
      <c r="J83" s="215">
        <f>IFERROR(__xludf.DUMMYFUNCTION("IFERROR(SUMPRODUCT(FILTER('FY22 Budget'!$F$2:$AC$71,'FY22 Budget'!$C$2:$C$71=$F83),'FY22 Budget'!$F$1:$AC$1&lt;=$K$4),"""")"),0.0)</f>
        <v>0</v>
      </c>
      <c r="K83" s="216" t="str">
        <f t="shared" si="55"/>
        <v/>
      </c>
      <c r="L83" s="204"/>
      <c r="M83" s="215" t="str">
        <f>_xludf.IFNA(VLOOKUP($F83,'FY22 Budget Update'!$C:$E,3,FALSE),0)</f>
        <v>#NAME?</v>
      </c>
      <c r="N83" s="216" t="str">
        <f>IFERROR($E83/M83,"")</f>
        <v/>
      </c>
      <c r="O83" s="204"/>
      <c r="P83" s="215">
        <f>IFERROR(__xludf.DUMMYFUNCTION("IFERROR(SUMPRODUCT(FILTER('FY22 Budget Update'!$F$2:$AC$72,'FY22 Budget Update'!$C$2:$C$72=$F83),'FY22 Budget Update'!$F$1:$AC$1&lt;=$K$4),"""")"),0.0)</f>
        <v>0</v>
      </c>
      <c r="Q83" s="216" t="str">
        <f t="shared" si="56"/>
        <v/>
      </c>
      <c r="R83" s="197"/>
    </row>
    <row r="84" outlineLevel="1">
      <c r="A84" s="250" t="s">
        <v>334</v>
      </c>
      <c r="B84" s="222">
        <v>2879.0</v>
      </c>
      <c r="C84" s="234"/>
      <c r="D84" s="234"/>
      <c r="E84" s="212">
        <f t="shared" si="50"/>
        <v>2879</v>
      </c>
      <c r="F84" s="214"/>
      <c r="G84" s="134"/>
      <c r="H84" s="102"/>
      <c r="I84" s="197"/>
      <c r="J84" s="235"/>
      <c r="K84" s="236"/>
      <c r="L84" s="204"/>
      <c r="M84" s="235"/>
      <c r="N84" s="236"/>
      <c r="O84" s="204"/>
      <c r="P84" s="235"/>
      <c r="Q84" s="236"/>
      <c r="R84" s="197"/>
    </row>
    <row r="85" outlineLevel="1">
      <c r="A85" s="250" t="s">
        <v>335</v>
      </c>
      <c r="B85" s="222"/>
      <c r="C85" s="234"/>
      <c r="D85" s="234"/>
      <c r="E85" s="212">
        <f t="shared" si="50"/>
        <v>0</v>
      </c>
      <c r="F85" s="214"/>
      <c r="G85" s="134"/>
      <c r="H85" s="102"/>
      <c r="I85" s="197"/>
      <c r="J85" s="235"/>
      <c r="K85" s="236"/>
      <c r="L85" s="204"/>
      <c r="M85" s="235"/>
      <c r="N85" s="236"/>
      <c r="O85" s="204"/>
      <c r="P85" s="235"/>
      <c r="Q85" s="236"/>
      <c r="R85" s="197"/>
    </row>
    <row r="86" outlineLevel="1">
      <c r="A86" s="250" t="s">
        <v>336</v>
      </c>
      <c r="B86" s="222"/>
      <c r="C86" s="234"/>
      <c r="D86" s="234"/>
      <c r="E86" s="212">
        <f t="shared" si="50"/>
        <v>0</v>
      </c>
      <c r="F86" s="214"/>
      <c r="G86" s="134"/>
      <c r="H86" s="102" t="str">
        <f>IFERROR(E86/G86,"")</f>
        <v/>
      </c>
      <c r="I86" s="197"/>
      <c r="J86" s="235"/>
      <c r="K86" s="236"/>
      <c r="L86" s="204"/>
      <c r="M86" s="235"/>
      <c r="N86" s="236"/>
      <c r="O86" s="204"/>
      <c r="P86" s="235"/>
      <c r="Q86" s="236"/>
      <c r="R86" s="197"/>
    </row>
    <row r="87">
      <c r="A87" s="249" t="s">
        <v>337</v>
      </c>
      <c r="B87" s="218">
        <f>SUM(B79:B86)</f>
        <v>9002.35</v>
      </c>
      <c r="C87" s="218">
        <f t="shared" ref="C87:D87" si="57">((((C78)+(C79))+(C80))+(C82))+(C83)</f>
        <v>0</v>
      </c>
      <c r="D87" s="218">
        <f t="shared" si="57"/>
        <v>0</v>
      </c>
      <c r="E87" s="218">
        <f>((B87)+(C87))+(D87)</f>
        <v>9002.35</v>
      </c>
      <c r="F87" s="214" t="str">
        <f t="shared" ref="F87:F94" si="58">LEFT(TRIM(A87),9)</f>
        <v>Total 000</v>
      </c>
      <c r="G87" s="108">
        <v>153016.0</v>
      </c>
      <c r="H87" s="227">
        <f>IFERROR($E87/G87,"")</f>
        <v>0.05883273645</v>
      </c>
      <c r="I87" s="197"/>
      <c r="J87" s="220">
        <f>SUM(J79:J83)</f>
        <v>0</v>
      </c>
      <c r="K87" s="221" t="str">
        <f>IFERROR($E87/J87,"")</f>
        <v/>
      </c>
      <c r="L87" s="204"/>
      <c r="M87" s="220" t="str">
        <f>SUM(M79:M83)</f>
        <v>#NAME?</v>
      </c>
      <c r="N87" s="221" t="str">
        <f>IFERROR($E87/M87,"")</f>
        <v/>
      </c>
      <c r="O87" s="204"/>
      <c r="P87" s="220">
        <f>SUM(P79:P83)</f>
        <v>0</v>
      </c>
      <c r="Q87" s="221" t="str">
        <f>IFERROR($E87/P87,"")</f>
        <v/>
      </c>
      <c r="R87" s="197"/>
    </row>
    <row r="88">
      <c r="A88" s="251" t="s">
        <v>338</v>
      </c>
      <c r="B88" s="213"/>
      <c r="C88" s="213"/>
      <c r="D88" s="213"/>
      <c r="E88" s="212"/>
      <c r="F88" s="214" t="str">
        <f t="shared" si="58"/>
        <v>0000-6XXX</v>
      </c>
      <c r="G88" s="106"/>
      <c r="H88" s="102" t="str">
        <f t="shared" ref="H88:H89" si="59">IFERROR(E88/G88,"")</f>
        <v/>
      </c>
      <c r="I88" s="197"/>
      <c r="J88" s="215"/>
      <c r="K88" s="216"/>
      <c r="L88" s="204"/>
      <c r="M88" s="215"/>
      <c r="N88" s="216" t="str">
        <f>IFERROR(K88/M88,"")</f>
        <v/>
      </c>
      <c r="O88" s="204"/>
      <c r="P88" s="215"/>
      <c r="Q88" s="216"/>
      <c r="R88" s="197"/>
    </row>
    <row r="89">
      <c r="A89" s="251" t="s">
        <v>339</v>
      </c>
      <c r="B89" s="212">
        <v>103338.34</v>
      </c>
      <c r="C89" s="213"/>
      <c r="D89" s="213"/>
      <c r="E89" s="212">
        <f>SUM(B89:D89)</f>
        <v>103338.34</v>
      </c>
      <c r="F89" s="214" t="str">
        <f t="shared" si="58"/>
        <v>2542-6333</v>
      </c>
      <c r="G89" s="106">
        <v>1216950.0</v>
      </c>
      <c r="H89" s="102">
        <f t="shared" si="59"/>
        <v>0.08491584699</v>
      </c>
      <c r="I89" s="197"/>
      <c r="J89" s="215">
        <f>IFERROR(__xludf.DUMMYFUNCTION("IFERROR(SUMPRODUCT(FILTER('FY22 Budget'!$F$2:$AC$71,'FY22 Budget'!$C$2:$C$71=$F89),'FY22 Budget'!$F$1:$AC$1&lt;=$K$4),"""")"),0.0)</f>
        <v>0</v>
      </c>
      <c r="K89" s="216" t="str">
        <f t="shared" ref="K89:K90" si="61">IFERROR($E89/J89,"")</f>
        <v/>
      </c>
      <c r="L89" s="204"/>
      <c r="M89" s="215" t="str">
        <f>_xludf.IFNA(VLOOKUP($F89,'FY22 Budget Update'!$C:$E,3,FALSE),0)</f>
        <v>#NAME?</v>
      </c>
      <c r="N89" s="216" t="str">
        <f t="shared" ref="N89:N90" si="62">IFERROR($E89/M89,"")</f>
        <v/>
      </c>
      <c r="O89" s="204"/>
      <c r="P89" s="215">
        <f>IFERROR(__xludf.DUMMYFUNCTION("IFERROR(SUMPRODUCT(FILTER('FY22 Budget Update'!$F$2:$AC$72,'FY22 Budget Update'!$C$2:$C$72=$F89),'FY22 Budget Update'!$F$1:$AC$1&lt;=$K$4),"""")"),0.0)</f>
        <v>0</v>
      </c>
      <c r="Q89" s="216" t="str">
        <f t="shared" ref="Q89:Q90" si="63">IFERROR($E89/P89,"")</f>
        <v/>
      </c>
      <c r="R89" s="197"/>
    </row>
    <row r="90">
      <c r="A90" s="251" t="s">
        <v>340</v>
      </c>
      <c r="B90" s="218">
        <f t="shared" ref="B90:D90" si="60">(B88)+(B89)</f>
        <v>103338.34</v>
      </c>
      <c r="C90" s="218">
        <f t="shared" si="60"/>
        <v>0</v>
      </c>
      <c r="D90" s="218">
        <f t="shared" si="60"/>
        <v>0</v>
      </c>
      <c r="E90" s="218">
        <f>((B90)+(C90))+(D90)</f>
        <v>103338.34</v>
      </c>
      <c r="F90" s="214" t="str">
        <f t="shared" si="58"/>
        <v>Total 000</v>
      </c>
      <c r="G90" s="108">
        <f>G89</f>
        <v>1216950</v>
      </c>
      <c r="H90" s="224">
        <f>IFERROR($E90/G90,"")</f>
        <v>0.08491584699</v>
      </c>
      <c r="I90" s="197"/>
      <c r="J90" s="220">
        <f>J89</f>
        <v>0</v>
      </c>
      <c r="K90" s="221" t="str">
        <f t="shared" si="61"/>
        <v/>
      </c>
      <c r="L90" s="204"/>
      <c r="M90" s="220" t="str">
        <f>M89</f>
        <v>#NAME?</v>
      </c>
      <c r="N90" s="221" t="str">
        <f t="shared" si="62"/>
        <v/>
      </c>
      <c r="O90" s="204"/>
      <c r="P90" s="220">
        <f>P89</f>
        <v>0</v>
      </c>
      <c r="Q90" s="221" t="str">
        <f t="shared" si="63"/>
        <v/>
      </c>
      <c r="R90" s="197"/>
    </row>
    <row r="91">
      <c r="A91" s="251" t="s">
        <v>341</v>
      </c>
      <c r="B91" s="252">
        <v>511.51</v>
      </c>
      <c r="C91" s="213"/>
      <c r="D91" s="213"/>
      <c r="E91" s="212">
        <f t="shared" ref="E91:E101" si="64">SUM(B91:D91)</f>
        <v>511.51</v>
      </c>
      <c r="F91" s="214" t="str">
        <f t="shared" si="58"/>
        <v>2541-6411</v>
      </c>
      <c r="G91" s="106"/>
      <c r="H91" s="102" t="str">
        <f t="shared" ref="H91:H92" si="65">IFERROR(E91/G91,"")</f>
        <v/>
      </c>
      <c r="I91" s="197"/>
      <c r="J91" s="215"/>
      <c r="K91" s="216"/>
      <c r="L91" s="204"/>
      <c r="M91" s="215"/>
      <c r="N91" s="216" t="str">
        <f t="shared" ref="N91:N92" si="66">IFERROR(K91/M91,"")</f>
        <v/>
      </c>
      <c r="O91" s="204"/>
      <c r="P91" s="215"/>
      <c r="Q91" s="216"/>
      <c r="R91" s="197"/>
    </row>
    <row r="92">
      <c r="A92" s="251" t="s">
        <v>342</v>
      </c>
      <c r="B92" s="253">
        <v>56014.0</v>
      </c>
      <c r="C92" s="254"/>
      <c r="D92" s="254"/>
      <c r="E92" s="255">
        <f t="shared" si="64"/>
        <v>56014</v>
      </c>
      <c r="F92" s="214" t="str">
        <f t="shared" si="58"/>
        <v>2542-6319</v>
      </c>
      <c r="G92" s="106"/>
      <c r="H92" s="102" t="str">
        <f t="shared" si="65"/>
        <v/>
      </c>
      <c r="I92" s="197"/>
      <c r="J92" s="215" t="str">
        <f>IFERROR(__xludf.DUMMYFUNCTION("IFERROR(SUMPRODUCT(FILTER('FY22 Budget'!$F$2:$AC$71,'FY22 Budget'!$C$2:$C$71=$F92),'FY22 Budget'!$F$1:$AC$1&lt;=$K$4),"""")"),"")</f>
        <v/>
      </c>
      <c r="K92" s="216" t="str">
        <f>IFERROR($E92/J92,"")</f>
        <v/>
      </c>
      <c r="L92" s="204"/>
      <c r="M92" s="215" t="str">
        <f>_xludf.IFNA(VLOOKUP($F92,'FY22 Budget Update'!$C:$E,3,FALSE),0)</f>
        <v>#NAME?</v>
      </c>
      <c r="N92" s="216" t="str">
        <f t="shared" si="66"/>
        <v/>
      </c>
      <c r="O92" s="197"/>
      <c r="P92" s="106" t="str">
        <f>IFERROR(__xludf.DUMMYFUNCTION("IFERROR(SUMPRODUCT(FILTER('FY22 Budget Update'!$F$2:$AC$72,'FY22 Budget Update'!$C$2:$C$72=$F92),'FY22 Budget Update'!$F$1:$AC$1&lt;=$K$4),"""")"),"")</f>
        <v/>
      </c>
      <c r="Q92" s="102" t="str">
        <f>IFERROR($E92/P92,"")</f>
        <v/>
      </c>
      <c r="R92" s="197"/>
    </row>
    <row r="93">
      <c r="A93" s="251" t="s">
        <v>343</v>
      </c>
      <c r="B93" s="222">
        <v>5926.0</v>
      </c>
      <c r="C93" s="213"/>
      <c r="D93" s="213"/>
      <c r="E93" s="212">
        <f t="shared" si="64"/>
        <v>5926</v>
      </c>
      <c r="F93" s="214" t="str">
        <f t="shared" si="58"/>
        <v>2542-6331</v>
      </c>
      <c r="G93" s="106"/>
      <c r="H93" s="102"/>
      <c r="I93" s="197"/>
      <c r="J93" s="215"/>
      <c r="K93" s="216"/>
      <c r="L93" s="204"/>
      <c r="M93" s="215"/>
      <c r="N93" s="216"/>
      <c r="O93" s="204"/>
      <c r="P93" s="215"/>
      <c r="Q93" s="216"/>
      <c r="R93" s="102"/>
    </row>
    <row r="94">
      <c r="A94" s="251" t="s">
        <v>344</v>
      </c>
      <c r="B94" s="222">
        <v>825.0</v>
      </c>
      <c r="C94" s="213"/>
      <c r="D94" s="213"/>
      <c r="E94" s="212">
        <f t="shared" si="64"/>
        <v>825</v>
      </c>
      <c r="F94" s="214" t="str">
        <f t="shared" si="58"/>
        <v>2542-6332</v>
      </c>
      <c r="G94" s="106"/>
      <c r="H94" s="102" t="str">
        <f t="shared" ref="H94:H96" si="67">IFERROR(E94/G94,"")</f>
        <v/>
      </c>
      <c r="I94" s="197"/>
      <c r="J94" s="215">
        <f>IFERROR(__xludf.DUMMYFUNCTION("IFERROR(SUMPRODUCT(FILTER('FY22 Budget'!$F$2:$AC$71,'FY22 Budget'!$C$2:$C$71=$F94),'FY22 Budget'!$F$1:$AC$1&lt;=$K$4),"""")"),0.0)</f>
        <v>0</v>
      </c>
      <c r="K94" s="216" t="str">
        <f>IFERROR($E94/J94,"")</f>
        <v/>
      </c>
      <c r="L94" s="204"/>
      <c r="M94" s="215" t="str">
        <f>_xludf.IFNA(VLOOKUP($F94,'FY22 Budget Update'!$C:$E,3,FALSE),0)</f>
        <v>#NAME?</v>
      </c>
      <c r="N94" s="216" t="str">
        <f>IFERROR($E94/M94,"")</f>
        <v/>
      </c>
      <c r="O94" s="204"/>
      <c r="P94" s="215">
        <f>IFERROR(__xludf.DUMMYFUNCTION("IFERROR(SUMPRODUCT(FILTER('FY22 Budget Update'!$F$2:$AC$72,'FY22 Budget Update'!$C$2:$C$72=$F94),'FY22 Budget Update'!$F$1:$AC$1&lt;=$K$4),"""")"),0.0)</f>
        <v>0</v>
      </c>
      <c r="Q94" s="216" t="str">
        <f>IFERROR($E94/P94,"")</f>
        <v/>
      </c>
      <c r="R94" s="102"/>
    </row>
    <row r="95">
      <c r="A95" s="251" t="s">
        <v>345</v>
      </c>
      <c r="B95" s="222">
        <v>77.99</v>
      </c>
      <c r="C95" s="213"/>
      <c r="D95" s="213"/>
      <c r="E95" s="212">
        <f t="shared" si="64"/>
        <v>77.99</v>
      </c>
      <c r="F95" s="214"/>
      <c r="G95" s="106"/>
      <c r="H95" s="102" t="str">
        <f t="shared" si="67"/>
        <v/>
      </c>
      <c r="I95" s="197"/>
      <c r="J95" s="215"/>
      <c r="K95" s="216"/>
      <c r="L95" s="204"/>
      <c r="M95" s="215"/>
      <c r="N95" s="216"/>
      <c r="O95" s="197"/>
      <c r="P95" s="106"/>
      <c r="Q95" s="102"/>
      <c r="R95" s="197"/>
    </row>
    <row r="96">
      <c r="A96" s="251" t="s">
        <v>346</v>
      </c>
      <c r="B96" s="222">
        <v>0.0</v>
      </c>
      <c r="C96" s="213"/>
      <c r="D96" s="213"/>
      <c r="E96" s="212">
        <f t="shared" si="64"/>
        <v>0</v>
      </c>
      <c r="F96" s="214" t="str">
        <f>LEFT(TRIM(A96),9)</f>
        <v>2542-6411</v>
      </c>
      <c r="G96" s="106"/>
      <c r="H96" s="102" t="str">
        <f t="shared" si="67"/>
        <v/>
      </c>
      <c r="I96" s="197"/>
      <c r="J96" s="215">
        <f>IFERROR(__xludf.DUMMYFUNCTION("IFERROR(SUMPRODUCT(FILTER('FY22 Budget'!$F$2:$AC$71,'FY22 Budget'!$C$2:$C$71=$F96),'FY22 Budget'!$F$1:$AC$1&lt;=$K$4),"""")"),0.0)</f>
        <v>0</v>
      </c>
      <c r="K96" s="216" t="str">
        <f>IFERROR($E96/J96,"")</f>
        <v/>
      </c>
      <c r="L96" s="204"/>
      <c r="M96" s="215" t="str">
        <f>_xludf.IFNA(VLOOKUP($F96,'FY22 Budget Update'!$C:$E,3,FALSE),0)</f>
        <v>#NAME?</v>
      </c>
      <c r="N96" s="216" t="str">
        <f>IFERROR($E96/M96,"")</f>
        <v/>
      </c>
      <c r="O96" s="197"/>
      <c r="P96" s="106">
        <f>IFERROR(__xludf.DUMMYFUNCTION("IFERROR(SUMPRODUCT(FILTER('FY22 Budget Update'!$F$2:$AC$72,'FY22 Budget Update'!$C$2:$C$72=$F96),'FY22 Budget Update'!$F$1:$AC$1&lt;=$K$4),"""")"),0.0)</f>
        <v>0</v>
      </c>
      <c r="Q96" s="102" t="str">
        <f>IFERROR($E96/P96,"")</f>
        <v/>
      </c>
      <c r="R96" s="197"/>
    </row>
    <row r="97">
      <c r="A97" s="251" t="s">
        <v>347</v>
      </c>
      <c r="B97" s="222"/>
      <c r="C97" s="213"/>
      <c r="D97" s="256">
        <v>140701.43</v>
      </c>
      <c r="E97" s="212">
        <f t="shared" si="64"/>
        <v>140701.43</v>
      </c>
      <c r="F97" s="214"/>
      <c r="G97" s="106"/>
      <c r="H97" s="102"/>
      <c r="I97" s="197"/>
      <c r="J97" s="215"/>
      <c r="K97" s="216"/>
      <c r="L97" s="204"/>
      <c r="M97" s="215"/>
      <c r="N97" s="216"/>
      <c r="O97" s="197"/>
      <c r="P97" s="106"/>
      <c r="Q97" s="102"/>
      <c r="R97" s="197"/>
    </row>
    <row r="98">
      <c r="A98" s="257" t="s">
        <v>348</v>
      </c>
      <c r="B98" s="217"/>
      <c r="C98" s="217"/>
      <c r="D98" s="217"/>
      <c r="E98" s="212">
        <f t="shared" si="64"/>
        <v>0</v>
      </c>
      <c r="F98" s="197"/>
      <c r="G98" s="237"/>
      <c r="H98" s="198"/>
      <c r="I98" s="197"/>
      <c r="J98" s="258"/>
      <c r="K98" s="259"/>
      <c r="L98" s="205"/>
      <c r="M98" s="258"/>
      <c r="N98" s="259"/>
      <c r="O98" s="197"/>
      <c r="P98" s="237"/>
      <c r="Q98" s="198"/>
      <c r="R98" s="197"/>
    </row>
    <row r="99">
      <c r="A99" s="257" t="s">
        <v>349</v>
      </c>
      <c r="B99" s="217"/>
      <c r="C99" s="217"/>
      <c r="D99" s="217"/>
      <c r="E99" s="239">
        <f t="shared" si="64"/>
        <v>0</v>
      </c>
      <c r="F99" s="197"/>
      <c r="G99" s="237"/>
      <c r="H99" s="198" t="str">
        <f>IFERROR(E99/G99,"")</f>
        <v/>
      </c>
      <c r="I99" s="197"/>
      <c r="J99" s="260" t="str">
        <f>IFERROR(__xludf.DUMMYFUNCTION("IFERROR(SUMPRODUCT(FILTER('FY22 Budget'!$F$2:$AC$71,'FY22 Budget'!$C$2:$C$71=$F99),'FY22 Budget'!$F$1:$AC$1&lt;=$K$4),"""")"),"")</f>
        <v/>
      </c>
      <c r="K99" s="261" t="str">
        <f>IFERROR($E99/J99,"")</f>
        <v/>
      </c>
      <c r="L99" s="205"/>
      <c r="M99" s="260" t="str">
        <f>_xludf.IFNA(VLOOKUP($F99,'FY22 Budget Update'!$C:$E,3,FALSE),0)</f>
        <v>#NAME?</v>
      </c>
      <c r="N99" s="261" t="str">
        <f>IFERROR($E99/M99,"")</f>
        <v/>
      </c>
      <c r="O99" s="197"/>
      <c r="P99" s="262" t="str">
        <f>IFERROR(__xludf.DUMMYFUNCTION("IFERROR(SUMPRODUCT(FILTER('FY22 Budget Update'!$F$2:$AC$72,'FY22 Budget Update'!$C$2:$C$72=$F99),'FY22 Budget Update'!$F$1:$AC$1&lt;=$K$4),"""")"),"")</f>
        <v/>
      </c>
      <c r="Q99" s="263" t="str">
        <f>IFERROR($E99/P99,"")</f>
        <v/>
      </c>
      <c r="R99" s="197"/>
    </row>
    <row r="100">
      <c r="A100" s="251" t="s">
        <v>350</v>
      </c>
      <c r="B100" s="222"/>
      <c r="C100" s="213"/>
      <c r="D100" s="222">
        <v>6690.0</v>
      </c>
      <c r="E100" s="239">
        <f t="shared" si="64"/>
        <v>6690</v>
      </c>
      <c r="F100" s="214"/>
      <c r="G100" s="106"/>
      <c r="H100" s="102"/>
      <c r="I100" s="197"/>
      <c r="J100" s="215"/>
      <c r="K100" s="216"/>
      <c r="L100" s="204"/>
      <c r="M100" s="215"/>
      <c r="N100" s="216"/>
      <c r="O100" s="197"/>
      <c r="P100" s="106"/>
      <c r="Q100" s="102"/>
      <c r="R100" s="197"/>
    </row>
    <row r="101">
      <c r="A101" s="251" t="s">
        <v>351</v>
      </c>
      <c r="B101" s="222"/>
      <c r="C101" s="213"/>
      <c r="D101" s="222">
        <v>5000.0</v>
      </c>
      <c r="E101" s="239">
        <f t="shared" si="64"/>
        <v>5000</v>
      </c>
      <c r="F101" s="214" t="str">
        <f t="shared" ref="F101:F104" si="69">LEFT(TRIM(A101),9)</f>
        <v>40X1-65X1</v>
      </c>
      <c r="G101" s="106"/>
      <c r="H101" s="102" t="str">
        <f>IFERROR(E101/G101,"")</f>
        <v/>
      </c>
      <c r="I101" s="197"/>
      <c r="J101" s="215" t="str">
        <f>IFERROR(__xludf.DUMMYFUNCTION("IFERROR(SUMPRODUCT(FILTER('FY22 Budget'!$F$2:$AC$71,'FY22 Budget'!$C$2:$C$71=$F101),'FY22 Budget'!$F$1:$AC$1&lt;=$K$4),"""")"),"")</f>
        <v/>
      </c>
      <c r="K101" s="216" t="str">
        <f t="shared" ref="K101:K102" si="70">IFERROR($E101/J101,"")</f>
        <v/>
      </c>
      <c r="L101" s="204"/>
      <c r="M101" s="215" t="str">
        <f>_xludf.IFNA(VLOOKUP($F101,'FY22 Budget Update'!$C:$E,3,FALSE),0)</f>
        <v>#NAME?</v>
      </c>
      <c r="N101" s="216" t="str">
        <f t="shared" ref="N101:N102" si="71">IFERROR($E101/M101,"")</f>
        <v/>
      </c>
      <c r="O101" s="197"/>
      <c r="P101" s="106" t="str">
        <f>IFERROR(__xludf.DUMMYFUNCTION("IFERROR(SUMPRODUCT(FILTER('FY22 Budget Update'!$F$2:$AC$72,'FY22 Budget Update'!$C$2:$C$72=$F101),'FY22 Budget Update'!$F$1:$AC$1&lt;=$K$4),"""")"),"")</f>
        <v/>
      </c>
      <c r="Q101" s="102" t="str">
        <f t="shared" ref="Q101:Q102" si="72">IFERROR($E101/P101,"")</f>
        <v/>
      </c>
      <c r="R101" s="197"/>
    </row>
    <row r="102">
      <c r="A102" s="251" t="s">
        <v>352</v>
      </c>
      <c r="B102" s="218">
        <f t="shared" ref="B102:E102" si="68">SUM(B91:B101)</f>
        <v>63354.5</v>
      </c>
      <c r="C102" s="218">
        <f t="shared" si="68"/>
        <v>0</v>
      </c>
      <c r="D102" s="218">
        <f t="shared" si="68"/>
        <v>152391.43</v>
      </c>
      <c r="E102" s="218">
        <f t="shared" si="68"/>
        <v>215745.93</v>
      </c>
      <c r="F102" s="214" t="str">
        <f t="shared" si="69"/>
        <v>Total 000</v>
      </c>
      <c r="G102" s="108">
        <v>215168.0</v>
      </c>
      <c r="H102" s="227">
        <f>IFERROR($E102/G102,"")</f>
        <v>1.002685948</v>
      </c>
      <c r="I102" s="197"/>
      <c r="J102" s="220">
        <f>SUM(J92:J101)</f>
        <v>0</v>
      </c>
      <c r="K102" s="221" t="str">
        <f t="shared" si="70"/>
        <v/>
      </c>
      <c r="L102" s="204"/>
      <c r="M102" s="220" t="str">
        <f>SUM(M92:M101)</f>
        <v>#NAME?</v>
      </c>
      <c r="N102" s="221" t="str">
        <f t="shared" si="71"/>
        <v/>
      </c>
      <c r="O102" s="204"/>
      <c r="P102" s="220">
        <f>SUM(P92:P101)</f>
        <v>0</v>
      </c>
      <c r="Q102" s="221" t="str">
        <f t="shared" si="72"/>
        <v/>
      </c>
      <c r="R102" s="264"/>
    </row>
    <row r="103">
      <c r="A103" s="265" t="s">
        <v>353</v>
      </c>
      <c r="B103" s="213"/>
      <c r="C103" s="213"/>
      <c r="D103" s="213"/>
      <c r="E103" s="212"/>
      <c r="F103" s="214" t="str">
        <f t="shared" si="69"/>
        <v>0000-6XXX</v>
      </c>
      <c r="G103" s="106"/>
      <c r="H103" s="102" t="str">
        <f t="shared" ref="H103:H104" si="73">IFERROR(E103/G103,"")</f>
        <v/>
      </c>
      <c r="I103" s="197"/>
      <c r="J103" s="215"/>
      <c r="K103" s="216"/>
      <c r="L103" s="204"/>
      <c r="M103" s="215"/>
      <c r="N103" s="216" t="str">
        <f>IFERROR(K103/M103,"")</f>
        <v/>
      </c>
      <c r="O103" s="204"/>
      <c r="P103" s="215"/>
      <c r="Q103" s="216"/>
      <c r="R103" s="197"/>
    </row>
    <row r="104">
      <c r="A104" s="265" t="s">
        <v>354</v>
      </c>
      <c r="B104" s="256">
        <v>26344.6</v>
      </c>
      <c r="C104" s="213"/>
      <c r="D104" s="213"/>
      <c r="E104" s="212">
        <f t="shared" ref="E104:E133" si="74">SUM(B104:D104)</f>
        <v>26344.6</v>
      </c>
      <c r="F104" s="214" t="str">
        <f t="shared" si="69"/>
        <v>1131-6316</v>
      </c>
      <c r="G104" s="106"/>
      <c r="H104" s="102" t="str">
        <f t="shared" si="73"/>
        <v/>
      </c>
      <c r="I104" s="197"/>
      <c r="J104" s="215" t="str">
        <f>IFERROR(__xludf.DUMMYFUNCTION("IFERROR(SUMPRODUCT(FILTER('FY22 Budget'!$F$2:$AC$71,'FY22 Budget'!$C$2:$C$71=$F104),'FY22 Budget'!$F$1:$AC$1&lt;=$K$4),"""")"),"")</f>
        <v/>
      </c>
      <c r="K104" s="216" t="str">
        <f>IFERROR($E104/J104,"")</f>
        <v/>
      </c>
      <c r="L104" s="204"/>
      <c r="M104" s="215" t="str">
        <f>_xludf.IFNA(VLOOKUP($F104,'FY22 Budget Update'!$C:$E,3,FALSE),0)</f>
        <v>#NAME?</v>
      </c>
      <c r="N104" s="216" t="str">
        <f>IFERROR($E104/M104,"")</f>
        <v/>
      </c>
      <c r="O104" s="197"/>
      <c r="P104" s="106" t="str">
        <f>IFERROR(__xludf.DUMMYFUNCTION("IFERROR(SUMPRODUCT(FILTER('FY22 Budget Update'!$F$2:$AC$72,'FY22 Budget Update'!$C$2:$C$72=$F104),'FY22 Budget Update'!$F$1:$AC$1&lt;=$K$4),"""")"),"")</f>
        <v/>
      </c>
      <c r="Q104" s="102" t="str">
        <f>IFERROR($E104/P104,"")</f>
        <v/>
      </c>
      <c r="R104" s="197"/>
    </row>
    <row r="105">
      <c r="A105" s="265" t="s">
        <v>355</v>
      </c>
      <c r="B105" s="222">
        <v>85.37</v>
      </c>
      <c r="C105" s="213"/>
      <c r="D105" s="213"/>
      <c r="E105" s="212">
        <f t="shared" si="74"/>
        <v>85.37</v>
      </c>
      <c r="F105" s="214"/>
      <c r="G105" s="106"/>
      <c r="H105" s="102"/>
      <c r="I105" s="197"/>
      <c r="J105" s="215"/>
      <c r="K105" s="216"/>
      <c r="L105" s="204"/>
      <c r="M105" s="215"/>
      <c r="N105" s="216"/>
      <c r="O105" s="197"/>
      <c r="P105" s="106"/>
      <c r="Q105" s="102"/>
      <c r="R105" s="197"/>
    </row>
    <row r="106">
      <c r="A106" s="265" t="s">
        <v>356</v>
      </c>
      <c r="B106" s="222"/>
      <c r="C106" s="213"/>
      <c r="D106" s="213"/>
      <c r="E106" s="212">
        <f t="shared" si="74"/>
        <v>0</v>
      </c>
      <c r="F106" s="214" t="str">
        <f>LEFT(TRIM(A106),9)</f>
        <v>1131-6337</v>
      </c>
      <c r="G106" s="106"/>
      <c r="H106" s="102" t="str">
        <f>IFERROR(E106/G106,"")</f>
        <v/>
      </c>
      <c r="I106" s="197"/>
      <c r="J106" s="215" t="str">
        <f>IFERROR(__xludf.DUMMYFUNCTION("IFERROR(SUMPRODUCT(FILTER('FY22 Budget'!$F$2:$AC$71,'FY22 Budget'!$C$2:$C$71=$F106),'FY22 Budget'!$F$1:$AC$1&lt;=$K$4),"""")"),"")</f>
        <v/>
      </c>
      <c r="K106" s="216" t="str">
        <f>IFERROR($E106/J106,"")</f>
        <v/>
      </c>
      <c r="L106" s="204"/>
      <c r="M106" s="215" t="str">
        <f>_xludf.IFNA(VLOOKUP($F106,'FY22 Budget Update'!$C:$E,3,FALSE),0)</f>
        <v>#NAME?</v>
      </c>
      <c r="N106" s="216" t="str">
        <f>IFERROR(K106/M106,"")</f>
        <v/>
      </c>
      <c r="O106" s="197"/>
      <c r="P106" s="106" t="str">
        <f>IFERROR(__xludf.DUMMYFUNCTION("IFERROR(SUMPRODUCT(FILTER('FY22 Budget Update'!$F$2:$AC$72,'FY22 Budget Update'!$C$2:$C$72=$F106),'FY22 Budget Update'!$F$1:$AC$1&lt;=$K$4),"""")"),"")</f>
        <v/>
      </c>
      <c r="Q106" s="102" t="str">
        <f>IFERROR($E106/P106,"")</f>
        <v/>
      </c>
      <c r="R106" s="197"/>
    </row>
    <row r="107">
      <c r="A107" s="265" t="s">
        <v>357</v>
      </c>
      <c r="B107" s="222"/>
      <c r="C107" s="213"/>
      <c r="D107" s="213"/>
      <c r="E107" s="212">
        <f t="shared" si="74"/>
        <v>0</v>
      </c>
      <c r="F107" s="214"/>
      <c r="G107" s="106"/>
      <c r="H107" s="102"/>
      <c r="I107" s="197"/>
      <c r="J107" s="215"/>
      <c r="K107" s="216"/>
      <c r="L107" s="204"/>
      <c r="M107" s="215"/>
      <c r="N107" s="216"/>
      <c r="O107" s="197"/>
      <c r="P107" s="106"/>
      <c r="Q107" s="102"/>
      <c r="R107" s="197"/>
    </row>
    <row r="108">
      <c r="A108" s="265" t="s">
        <v>358</v>
      </c>
      <c r="B108" s="222">
        <v>1254.98</v>
      </c>
      <c r="C108" s="213"/>
      <c r="D108" s="213"/>
      <c r="E108" s="212">
        <f t="shared" si="74"/>
        <v>1254.98</v>
      </c>
      <c r="F108" s="214" t="str">
        <f t="shared" ref="F108:F110" si="75">LEFT(TRIM(A108),9)</f>
        <v>1131-6411</v>
      </c>
      <c r="G108" s="106"/>
      <c r="H108" s="102" t="str">
        <f t="shared" ref="H108:H113" si="76">IFERROR(E108/G108,"")</f>
        <v/>
      </c>
      <c r="I108" s="197"/>
      <c r="J108" s="215">
        <f>IFERROR(__xludf.DUMMYFUNCTION("IFERROR(SUMPRODUCT(FILTER('FY22 Budget'!$F$2:$AC$71,'FY22 Budget'!$C$2:$C$71=$F108),'FY22 Budget'!$F$1:$AC$1&lt;=$K$4),"""")"),0.0)</f>
        <v>0</v>
      </c>
      <c r="K108" s="216" t="str">
        <f t="shared" ref="K108:K110" si="77">IFERROR($E108/J108,"")</f>
        <v/>
      </c>
      <c r="L108" s="204"/>
      <c r="M108" s="215" t="str">
        <f>_xludf.IFNA(VLOOKUP($F108,'FY22 Budget Update'!$C:$E,3,FALSE),0)</f>
        <v>#NAME?</v>
      </c>
      <c r="N108" s="216" t="str">
        <f t="shared" ref="N108:N110" si="78">IFERROR($E108/M108,"")</f>
        <v/>
      </c>
      <c r="O108" s="197"/>
      <c r="P108" s="106">
        <f>IFERROR(__xludf.DUMMYFUNCTION("IFERROR(SUMPRODUCT(FILTER('FY22 Budget Update'!$F$2:$AC$72,'FY22 Budget Update'!$C$2:$C$72=$F108),'FY22 Budget Update'!$F$1:$AC$1&lt;=$K$4),"""")"),0.0)</f>
        <v>0</v>
      </c>
      <c r="Q108" s="102" t="str">
        <f t="shared" ref="Q108:Q110" si="79">IFERROR($E108/P108,"")</f>
        <v/>
      </c>
      <c r="R108" s="197"/>
    </row>
    <row r="109">
      <c r="A109" s="265" t="s">
        <v>359</v>
      </c>
      <c r="B109" s="222">
        <v>4269.4</v>
      </c>
      <c r="C109" s="213"/>
      <c r="D109" s="213"/>
      <c r="E109" s="212">
        <f t="shared" si="74"/>
        <v>4269.4</v>
      </c>
      <c r="F109" s="214" t="str">
        <f t="shared" si="75"/>
        <v>1131-6412</v>
      </c>
      <c r="G109" s="106"/>
      <c r="H109" s="102" t="str">
        <f t="shared" si="76"/>
        <v/>
      </c>
      <c r="I109" s="197"/>
      <c r="J109" s="215">
        <f>IFERROR(__xludf.DUMMYFUNCTION("IFERROR(SUMPRODUCT(FILTER('FY22 Budget'!$F$2:$AC$71,'FY22 Budget'!$C$2:$C$71=$F109),'FY22 Budget'!$F$1:$AC$1&lt;=$K$4),"""")"),0.0)</f>
        <v>0</v>
      </c>
      <c r="K109" s="216" t="str">
        <f t="shared" si="77"/>
        <v/>
      </c>
      <c r="L109" s="204"/>
      <c r="M109" s="215" t="str">
        <f>_xludf.IFNA(VLOOKUP($F109,'FY22 Budget Update'!$C:$E,3,FALSE),0)</f>
        <v>#NAME?</v>
      </c>
      <c r="N109" s="216" t="str">
        <f t="shared" si="78"/>
        <v/>
      </c>
      <c r="O109" s="197"/>
      <c r="P109" s="106">
        <f>IFERROR(__xludf.DUMMYFUNCTION("IFERROR(SUMPRODUCT(FILTER('FY22 Budget Update'!$F$2:$AC$72,'FY22 Budget Update'!$C$2:$C$72=$F109),'FY22 Budget Update'!$F$1:$AC$1&lt;=$K$4),"""")"),0.0)</f>
        <v>0</v>
      </c>
      <c r="Q109" s="102" t="str">
        <f t="shared" si="79"/>
        <v/>
      </c>
      <c r="R109" s="197"/>
    </row>
    <row r="110">
      <c r="A110" s="265" t="s">
        <v>360</v>
      </c>
      <c r="B110" s="222"/>
      <c r="C110" s="213"/>
      <c r="D110" s="213"/>
      <c r="E110" s="212">
        <f t="shared" si="74"/>
        <v>0</v>
      </c>
      <c r="F110" s="214" t="str">
        <f t="shared" si="75"/>
        <v>1131-6431</v>
      </c>
      <c r="G110" s="106"/>
      <c r="H110" s="102" t="str">
        <f t="shared" si="76"/>
        <v/>
      </c>
      <c r="I110" s="197"/>
      <c r="J110" s="215">
        <f>IFERROR(__xludf.DUMMYFUNCTION("IFERROR(SUMPRODUCT(FILTER('FY22 Budget'!$F$2:$AC$71,'FY22 Budget'!$C$2:$C$71=$F110),'FY22 Budget'!$F$1:$AC$1&lt;=$K$4),"""")"),0.0)</f>
        <v>0</v>
      </c>
      <c r="K110" s="216" t="str">
        <f t="shared" si="77"/>
        <v/>
      </c>
      <c r="L110" s="204"/>
      <c r="M110" s="215" t="str">
        <f>_xludf.IFNA(VLOOKUP($F110,'FY22 Budget Update'!$C:$E,3,FALSE),0)</f>
        <v>#NAME?</v>
      </c>
      <c r="N110" s="216" t="str">
        <f t="shared" si="78"/>
        <v/>
      </c>
      <c r="O110" s="197"/>
      <c r="P110" s="106">
        <f>IFERROR(__xludf.DUMMYFUNCTION("IFERROR(SUMPRODUCT(FILTER('FY22 Budget Update'!$F$2:$AC$72,'FY22 Budget Update'!$C$2:$C$72=$F110),'FY22 Budget Update'!$F$1:$AC$1&lt;=$K$4),"""")"),0.0)</f>
        <v>0</v>
      </c>
      <c r="Q110" s="102" t="str">
        <f t="shared" si="79"/>
        <v/>
      </c>
      <c r="R110" s="197"/>
    </row>
    <row r="111">
      <c r="A111" s="265" t="s">
        <v>361</v>
      </c>
      <c r="B111" s="222"/>
      <c r="C111" s="213"/>
      <c r="D111" s="213"/>
      <c r="E111" s="212">
        <f t="shared" si="74"/>
        <v>0</v>
      </c>
      <c r="F111" s="214"/>
      <c r="G111" s="106"/>
      <c r="H111" s="102" t="str">
        <f t="shared" si="76"/>
        <v/>
      </c>
      <c r="I111" s="197"/>
      <c r="J111" s="215"/>
      <c r="K111" s="216"/>
      <c r="L111" s="204"/>
      <c r="M111" s="215"/>
      <c r="N111" s="216"/>
      <c r="O111" s="197"/>
      <c r="P111" s="106"/>
      <c r="Q111" s="102"/>
      <c r="R111" s="197"/>
    </row>
    <row r="112">
      <c r="A112" s="265" t="s">
        <v>362</v>
      </c>
      <c r="B112" s="222"/>
      <c r="C112" s="213"/>
      <c r="D112" s="213"/>
      <c r="E112" s="212">
        <f t="shared" si="74"/>
        <v>0</v>
      </c>
      <c r="F112" s="214"/>
      <c r="G112" s="106"/>
      <c r="H112" s="102" t="str">
        <f t="shared" si="76"/>
        <v/>
      </c>
      <c r="I112" s="197"/>
      <c r="J112" s="215"/>
      <c r="K112" s="216"/>
      <c r="L112" s="204"/>
      <c r="M112" s="215"/>
      <c r="N112" s="216"/>
      <c r="O112" s="197"/>
      <c r="P112" s="106"/>
      <c r="Q112" s="102"/>
      <c r="R112" s="197"/>
    </row>
    <row r="113">
      <c r="A113" s="265" t="s">
        <v>363</v>
      </c>
      <c r="B113" s="256">
        <v>26344.6</v>
      </c>
      <c r="C113" s="213"/>
      <c r="D113" s="213"/>
      <c r="E113" s="212">
        <f t="shared" si="74"/>
        <v>26344.6</v>
      </c>
      <c r="F113" s="214"/>
      <c r="G113" s="106"/>
      <c r="H113" s="102" t="str">
        <f t="shared" si="76"/>
        <v/>
      </c>
      <c r="I113" s="197"/>
      <c r="J113" s="215"/>
      <c r="K113" s="216"/>
      <c r="L113" s="204"/>
      <c r="M113" s="215"/>
      <c r="N113" s="216"/>
      <c r="O113" s="197"/>
      <c r="P113" s="106"/>
      <c r="Q113" s="102"/>
      <c r="R113" s="197"/>
    </row>
    <row r="114">
      <c r="A114" s="265" t="s">
        <v>364</v>
      </c>
      <c r="B114" s="222">
        <v>638.28</v>
      </c>
      <c r="C114" s="213"/>
      <c r="D114" s="213"/>
      <c r="E114" s="212">
        <f t="shared" si="74"/>
        <v>638.28</v>
      </c>
      <c r="F114" s="214"/>
      <c r="G114" s="106"/>
      <c r="H114" s="102"/>
      <c r="I114" s="197"/>
      <c r="J114" s="215"/>
      <c r="K114" s="216"/>
      <c r="L114" s="204"/>
      <c r="M114" s="215"/>
      <c r="N114" s="216"/>
      <c r="O114" s="197"/>
      <c r="P114" s="106"/>
      <c r="Q114" s="102"/>
      <c r="R114" s="197"/>
    </row>
    <row r="115">
      <c r="A115" s="265" t="s">
        <v>365</v>
      </c>
      <c r="B115" s="222">
        <v>1418.91</v>
      </c>
      <c r="C115" s="213"/>
      <c r="D115" s="213"/>
      <c r="E115" s="212">
        <f t="shared" si="74"/>
        <v>1418.91</v>
      </c>
      <c r="F115" s="214"/>
      <c r="G115" s="106"/>
      <c r="H115" s="102" t="str">
        <f t="shared" ref="H115:H129" si="80">IFERROR(E115/G115,"")</f>
        <v/>
      </c>
      <c r="I115" s="197"/>
      <c r="J115" s="215"/>
      <c r="K115" s="216"/>
      <c r="L115" s="204"/>
      <c r="M115" s="215"/>
      <c r="N115" s="216"/>
      <c r="O115" s="197"/>
      <c r="P115" s="106"/>
      <c r="Q115" s="102"/>
      <c r="R115" s="197"/>
    </row>
    <row r="116">
      <c r="A116" s="265" t="s">
        <v>366</v>
      </c>
      <c r="B116" s="222">
        <v>127.98</v>
      </c>
      <c r="C116" s="213"/>
      <c r="D116" s="213"/>
      <c r="E116" s="212">
        <f t="shared" si="74"/>
        <v>127.98</v>
      </c>
      <c r="F116" s="214"/>
      <c r="G116" s="106"/>
      <c r="H116" s="102" t="str">
        <f t="shared" si="80"/>
        <v/>
      </c>
      <c r="I116" s="197"/>
      <c r="J116" s="215"/>
      <c r="K116" s="216"/>
      <c r="L116" s="204"/>
      <c r="M116" s="215"/>
      <c r="N116" s="216"/>
      <c r="O116" s="197"/>
      <c r="P116" s="106"/>
      <c r="Q116" s="102"/>
      <c r="R116" s="197"/>
    </row>
    <row r="117">
      <c r="A117" s="265" t="s">
        <v>367</v>
      </c>
      <c r="B117" s="222"/>
      <c r="C117" s="213"/>
      <c r="D117" s="213"/>
      <c r="E117" s="212">
        <f t="shared" si="74"/>
        <v>0</v>
      </c>
      <c r="F117" s="214"/>
      <c r="G117" s="106"/>
      <c r="H117" s="102" t="str">
        <f t="shared" si="80"/>
        <v/>
      </c>
      <c r="I117" s="197"/>
      <c r="J117" s="215"/>
      <c r="K117" s="216"/>
      <c r="L117" s="204"/>
      <c r="M117" s="215"/>
      <c r="N117" s="216"/>
      <c r="O117" s="197"/>
      <c r="P117" s="106"/>
      <c r="Q117" s="102"/>
      <c r="R117" s="197"/>
    </row>
    <row r="118">
      <c r="A118" s="265" t="s">
        <v>368</v>
      </c>
      <c r="B118" s="222"/>
      <c r="C118" s="213"/>
      <c r="D118" s="213"/>
      <c r="E118" s="212">
        <f t="shared" si="74"/>
        <v>0</v>
      </c>
      <c r="F118" s="214"/>
      <c r="G118" s="106"/>
      <c r="H118" s="102" t="str">
        <f t="shared" si="80"/>
        <v/>
      </c>
      <c r="I118" s="197"/>
      <c r="J118" s="215"/>
      <c r="K118" s="216"/>
      <c r="L118" s="204"/>
      <c r="M118" s="215"/>
      <c r="N118" s="216"/>
      <c r="O118" s="197"/>
      <c r="P118" s="106"/>
      <c r="Q118" s="102"/>
      <c r="R118" s="197"/>
    </row>
    <row r="119">
      <c r="A119" s="266" t="s">
        <v>369</v>
      </c>
      <c r="B119" s="267">
        <v>326.9</v>
      </c>
      <c r="C119" s="217"/>
      <c r="D119" s="217"/>
      <c r="E119" s="239">
        <f t="shared" si="74"/>
        <v>326.9</v>
      </c>
      <c r="F119" s="268" t="str">
        <f t="shared" ref="F119:F124" si="81">LEFT(TRIM(A119),9)</f>
        <v>1221-6311</v>
      </c>
      <c r="G119" s="237"/>
      <c r="H119" s="198" t="str">
        <f t="shared" si="80"/>
        <v/>
      </c>
      <c r="I119" s="197"/>
      <c r="J119" s="258" t="str">
        <f>IFERROR(__xludf.DUMMYFUNCTION("IFERROR(SUMPRODUCT(FILTER('FY22 Budget'!$F$2:$AC$71,'FY22 Budget'!$C$2:$C$71=$F119),'FY22 Budget'!$F$1:$AC$1&lt;=$K$4),"""")"),"")</f>
        <v/>
      </c>
      <c r="K119" s="259" t="str">
        <f t="shared" ref="K119:K129" si="82">IFERROR($E119/J119,"")</f>
        <v/>
      </c>
      <c r="L119" s="205"/>
      <c r="M119" s="258" t="str">
        <f>_xludf.IFNA(VLOOKUP($F119,'FY22 Budget Update'!$C:$E,3,FALSE),0)</f>
        <v>#NAME?</v>
      </c>
      <c r="N119" s="259" t="str">
        <f t="shared" ref="N119:N124" si="83">IFERROR($E119/M119,"")</f>
        <v/>
      </c>
      <c r="O119" s="197"/>
      <c r="P119" s="237" t="str">
        <f>IFERROR(__xludf.DUMMYFUNCTION("IFERROR(SUMPRODUCT(FILTER('FY22 Budget Update'!$F$2:$AC$72,'FY22 Budget Update'!$C$2:$C$72=$F119),'FY22 Budget Update'!$F$1:$AC$1&lt;=$K$4),"""")"),"")</f>
        <v/>
      </c>
      <c r="Q119" s="198" t="str">
        <f t="shared" ref="Q119:Q129" si="84">IFERROR($E119/P119,"")</f>
        <v/>
      </c>
      <c r="R119" s="197"/>
    </row>
    <row r="120">
      <c r="A120" s="265" t="s">
        <v>370</v>
      </c>
      <c r="B120" s="222"/>
      <c r="C120" s="213"/>
      <c r="D120" s="213"/>
      <c r="E120" s="212">
        <f t="shared" si="74"/>
        <v>0</v>
      </c>
      <c r="F120" s="214" t="str">
        <f t="shared" si="81"/>
        <v>1221-6319</v>
      </c>
      <c r="G120" s="106"/>
      <c r="H120" s="102" t="str">
        <f t="shared" si="80"/>
        <v/>
      </c>
      <c r="I120" s="197"/>
      <c r="J120" s="215">
        <f>IFERROR(__xludf.DUMMYFUNCTION("IFERROR(SUMPRODUCT(FILTER('FY22 Budget'!$F$2:$AC$71,'FY22 Budget'!$C$2:$C$71=$F120),'FY22 Budget'!$F$1:$AC$1&lt;=$K$4),"""")"),0.0)</f>
        <v>0</v>
      </c>
      <c r="K120" s="216" t="str">
        <f t="shared" si="82"/>
        <v/>
      </c>
      <c r="L120" s="204"/>
      <c r="M120" s="215" t="str">
        <f>_xludf.IFNA(VLOOKUP($F120,'FY22 Budget Update'!$C:$E,3,FALSE),0)</f>
        <v>#NAME?</v>
      </c>
      <c r="N120" s="216" t="str">
        <f t="shared" si="83"/>
        <v/>
      </c>
      <c r="O120" s="197"/>
      <c r="P120" s="106">
        <f>IFERROR(__xludf.DUMMYFUNCTION("IFERROR(SUMPRODUCT(FILTER('FY22 Budget Update'!$F$2:$AC$72,'FY22 Budget Update'!$C$2:$C$72=$F120),'FY22 Budget Update'!$F$1:$AC$1&lt;=$K$4),"""")"),0.0)</f>
        <v>0</v>
      </c>
      <c r="Q120" s="102" t="str">
        <f t="shared" si="84"/>
        <v/>
      </c>
      <c r="R120" s="197"/>
    </row>
    <row r="121">
      <c r="A121" s="265" t="s">
        <v>371</v>
      </c>
      <c r="B121" s="222"/>
      <c r="C121" s="213"/>
      <c r="D121" s="213"/>
      <c r="E121" s="212">
        <f t="shared" si="74"/>
        <v>0</v>
      </c>
      <c r="F121" s="214" t="str">
        <f t="shared" si="81"/>
        <v>1221-6411</v>
      </c>
      <c r="G121" s="106"/>
      <c r="H121" s="102" t="str">
        <f t="shared" si="80"/>
        <v/>
      </c>
      <c r="I121" s="197"/>
      <c r="J121" s="215" t="str">
        <f>IFERROR(__xludf.DUMMYFUNCTION("IFERROR(SUMPRODUCT(FILTER('FY22 Budget'!$F$2:$AC$71,'FY22 Budget'!$C$2:$C$71=$F121),'FY22 Budget'!$F$1:$AC$1&lt;=$K$4),"""")"),"")</f>
        <v/>
      </c>
      <c r="K121" s="216" t="str">
        <f t="shared" si="82"/>
        <v/>
      </c>
      <c r="L121" s="204"/>
      <c r="M121" s="215" t="str">
        <f>_xludf.IFNA(VLOOKUP($F121,'FY22 Budget Update'!$C:$E,3,FALSE),0)</f>
        <v>#NAME?</v>
      </c>
      <c r="N121" s="216" t="str">
        <f t="shared" si="83"/>
        <v/>
      </c>
      <c r="O121" s="197"/>
      <c r="P121" s="106">
        <f>IFERROR(__xludf.DUMMYFUNCTION("IFERROR(SUMPRODUCT(FILTER('FY22 Budget Update'!$F$2:$AC$72,'FY22 Budget Update'!$C$2:$C$72=$F121),'FY22 Budget Update'!$F$1:$AC$1&lt;=$K$4),"""")"),0.0)</f>
        <v>0</v>
      </c>
      <c r="Q121" s="102" t="str">
        <f t="shared" si="84"/>
        <v/>
      </c>
      <c r="R121" s="197"/>
    </row>
    <row r="122">
      <c r="A122" s="266" t="s">
        <v>372</v>
      </c>
      <c r="B122" s="267">
        <v>2671.2</v>
      </c>
      <c r="C122" s="217"/>
      <c r="D122" s="217"/>
      <c r="E122" s="239">
        <f t="shared" si="74"/>
        <v>2671.2</v>
      </c>
      <c r="F122" s="268" t="str">
        <f t="shared" si="81"/>
        <v>1411/1421</v>
      </c>
      <c r="G122" s="237"/>
      <c r="H122" s="198" t="str">
        <f t="shared" si="80"/>
        <v/>
      </c>
      <c r="I122" s="197"/>
      <c r="J122" s="269" t="str">
        <f>IFERROR(__xludf.DUMMYFUNCTION("IFERROR(SUMPRODUCT(FILTER('FY22 Budget'!$F$2:$AC$71,'FY22 Budget'!$C$2:$C$71=$F122),'FY22 Budget'!$F$1:$AC$1&lt;=$K$4),"""")"),"")</f>
        <v/>
      </c>
      <c r="K122" s="270" t="str">
        <f t="shared" si="82"/>
        <v/>
      </c>
      <c r="L122" s="205"/>
      <c r="M122" s="269" t="str">
        <f>_xludf.IFNA(VLOOKUP($F122,'FY22 Budget Update'!$C:$E,3,FALSE),0)</f>
        <v>#NAME?</v>
      </c>
      <c r="N122" s="270" t="str">
        <f t="shared" si="83"/>
        <v/>
      </c>
      <c r="O122" s="197"/>
      <c r="P122" s="97" t="str">
        <f>IFERROR(__xludf.DUMMYFUNCTION("IFERROR(SUMPRODUCT(FILTER('FY22 Budget Update'!$F$2:$AC$72,'FY22 Budget Update'!$C$2:$C$72=$F122),'FY22 Budget Update'!$F$1:$AC$1&lt;=$K$4),"""")"),"")</f>
        <v/>
      </c>
      <c r="Q122" s="198" t="str">
        <f t="shared" si="84"/>
        <v/>
      </c>
      <c r="R122" s="197"/>
    </row>
    <row r="123">
      <c r="A123" s="265" t="s">
        <v>373</v>
      </c>
      <c r="B123" s="222">
        <v>429.83</v>
      </c>
      <c r="C123" s="213"/>
      <c r="D123" s="213"/>
      <c r="E123" s="212">
        <f t="shared" si="74"/>
        <v>429.83</v>
      </c>
      <c r="F123" s="214" t="str">
        <f t="shared" si="81"/>
        <v>1411/1421</v>
      </c>
      <c r="G123" s="106"/>
      <c r="H123" s="102" t="str">
        <f t="shared" si="80"/>
        <v/>
      </c>
      <c r="I123" s="197"/>
      <c r="J123" s="215" t="str">
        <f>IFERROR(__xludf.DUMMYFUNCTION("IFERROR(SUMPRODUCT(FILTER('FY22 Budget'!$F$2:$AC$71,'FY22 Budget'!$C$2:$C$71=$F123),'FY22 Budget'!$F$1:$AC$1&lt;=$K$4),"""")"),"")</f>
        <v/>
      </c>
      <c r="K123" s="216" t="str">
        <f t="shared" si="82"/>
        <v/>
      </c>
      <c r="L123" s="204"/>
      <c r="M123" s="215" t="str">
        <f>_xludf.IFNA(VLOOKUP($F123,'FY22 Budget Update'!$C:$E,3,FALSE),0)</f>
        <v>#NAME?</v>
      </c>
      <c r="N123" s="216" t="str">
        <f t="shared" si="83"/>
        <v/>
      </c>
      <c r="O123" s="197"/>
      <c r="P123" s="106" t="str">
        <f>IFERROR(__xludf.DUMMYFUNCTION("IFERROR(SUMPRODUCT(FILTER('FY22 Budget Update'!$F$2:$AC$72,'FY22 Budget Update'!$C$2:$C$72=$F123),'FY22 Budget Update'!$F$1:$AC$1&lt;=$K$4),"""")"),"")</f>
        <v/>
      </c>
      <c r="Q123" s="102" t="str">
        <f t="shared" si="84"/>
        <v/>
      </c>
      <c r="R123" s="197"/>
    </row>
    <row r="124">
      <c r="A124" s="265" t="s">
        <v>374</v>
      </c>
      <c r="B124" s="222">
        <v>6877.14</v>
      </c>
      <c r="C124" s="213"/>
      <c r="D124" s="213"/>
      <c r="E124" s="212">
        <f t="shared" si="74"/>
        <v>6877.14</v>
      </c>
      <c r="F124" s="214" t="str">
        <f t="shared" si="81"/>
        <v>1411/1421</v>
      </c>
      <c r="G124" s="106"/>
      <c r="H124" s="102" t="str">
        <f t="shared" si="80"/>
        <v/>
      </c>
      <c r="I124" s="197"/>
      <c r="J124" s="215" t="str">
        <f>IFERROR(__xludf.DUMMYFUNCTION("IFERROR(SUMPRODUCT(FILTER('FY22 Budget'!$F$2:$AC$71,'FY22 Budget'!$C$2:$C$71=$F124),'FY22 Budget'!$F$1:$AC$1&lt;=$K$4),"""")"),"")</f>
        <v/>
      </c>
      <c r="K124" s="216" t="str">
        <f t="shared" si="82"/>
        <v/>
      </c>
      <c r="L124" s="204"/>
      <c r="M124" s="215" t="str">
        <f>_xludf.IFNA(VLOOKUP($F124,'FY22 Budget Update'!$C:$E,3,FALSE),0)</f>
        <v>#NAME?</v>
      </c>
      <c r="N124" s="216" t="str">
        <f t="shared" si="83"/>
        <v/>
      </c>
      <c r="O124" s="197"/>
      <c r="P124" s="106" t="str">
        <f>IFERROR(__xludf.DUMMYFUNCTION("IFERROR(SUMPRODUCT(FILTER('FY22 Budget Update'!$F$2:$AC$72,'FY22 Budget Update'!$C$2:$C$72=$F124),'FY22 Budget Update'!$F$1:$AC$1&lt;=$K$4),"""")"),"")</f>
        <v/>
      </c>
      <c r="Q124" s="102" t="str">
        <f t="shared" si="84"/>
        <v/>
      </c>
      <c r="R124" s="197"/>
    </row>
    <row r="125">
      <c r="A125" s="265" t="s">
        <v>375</v>
      </c>
      <c r="B125" s="222"/>
      <c r="C125" s="213"/>
      <c r="D125" s="213"/>
      <c r="E125" s="212">
        <f t="shared" si="74"/>
        <v>0</v>
      </c>
      <c r="F125" s="214"/>
      <c r="G125" s="106"/>
      <c r="H125" s="102" t="str">
        <f t="shared" si="80"/>
        <v/>
      </c>
      <c r="I125" s="197"/>
      <c r="J125" s="215" t="str">
        <f>IFERROR(__xludf.DUMMYFUNCTION("IFERROR(SUMPRODUCT(FILTER('FY22 Budget'!$F$2:$AC$71,'FY22 Budget'!$C$2:$C$71=$F125),'FY22 Budget'!$F$1:$AC$1&lt;=$K$4),"""")"),"")</f>
        <v/>
      </c>
      <c r="K125" s="216" t="str">
        <f t="shared" si="82"/>
        <v/>
      </c>
      <c r="L125" s="204"/>
      <c r="M125" s="215" t="str">
        <f>_xludf.IFNA(VLOOKUP($F125,'FY22 Budget Update'!$C:$E,3,FALSE),0)</f>
        <v>#NAME?</v>
      </c>
      <c r="N125" s="216" t="str">
        <f>IFERROR(K125/M125,"")</f>
        <v/>
      </c>
      <c r="O125" s="197"/>
      <c r="P125" s="106" t="str">
        <f>IFERROR(__xludf.DUMMYFUNCTION("IFERROR(SUMPRODUCT(FILTER('FY22 Budget Update'!$F$2:$AC$72,'FY22 Budget Update'!$C$2:$C$72=$F125),'FY22 Budget Update'!$F$1:$AC$1&lt;=$K$4),"""")"),"")</f>
        <v/>
      </c>
      <c r="Q125" s="102" t="str">
        <f t="shared" si="84"/>
        <v/>
      </c>
      <c r="R125" s="197"/>
    </row>
    <row r="126">
      <c r="A126" s="265" t="s">
        <v>376</v>
      </c>
      <c r="B126" s="222"/>
      <c r="C126" s="213"/>
      <c r="D126" s="213"/>
      <c r="E126" s="212">
        <f t="shared" si="74"/>
        <v>0</v>
      </c>
      <c r="F126" s="214" t="str">
        <f t="shared" ref="F126:F129" si="85">LEFT(TRIM(A126),9)</f>
        <v>2142-6319</v>
      </c>
      <c r="G126" s="106"/>
      <c r="H126" s="102" t="str">
        <f t="shared" si="80"/>
        <v/>
      </c>
      <c r="I126" s="197"/>
      <c r="J126" s="215">
        <f>IFERROR(__xludf.DUMMYFUNCTION("IFERROR(SUMPRODUCT(FILTER('FY22 Budget'!$F$2:$AC$71,'FY22 Budget'!$C$2:$C$71=$F126),'FY22 Budget'!$F$1:$AC$1&lt;=$K$4),"""")"),0.0)</f>
        <v>0</v>
      </c>
      <c r="K126" s="216" t="str">
        <f t="shared" si="82"/>
        <v/>
      </c>
      <c r="L126" s="204"/>
      <c r="M126" s="215" t="str">
        <f>_xludf.IFNA(VLOOKUP($F126,'FY22 Budget Update'!$C:$E,3,FALSE),0)</f>
        <v>#NAME?</v>
      </c>
      <c r="N126" s="216" t="str">
        <f t="shared" ref="N126:N129" si="86">IFERROR($E126/M126,"")</f>
        <v/>
      </c>
      <c r="O126" s="197"/>
      <c r="P126" s="106">
        <f>IFERROR(__xludf.DUMMYFUNCTION("IFERROR(SUMPRODUCT(FILTER('FY22 Budget Update'!$F$2:$AC$72,'FY22 Budget Update'!$C$2:$C$72=$F126),'FY22 Budget Update'!$F$1:$AC$1&lt;=$K$4),"""")"),0.0)</f>
        <v>0</v>
      </c>
      <c r="Q126" s="102" t="str">
        <f t="shared" si="84"/>
        <v/>
      </c>
      <c r="R126" s="197"/>
    </row>
    <row r="127">
      <c r="A127" s="265" t="s">
        <v>377</v>
      </c>
      <c r="B127" s="222">
        <v>3410.0</v>
      </c>
      <c r="C127" s="213"/>
      <c r="D127" s="213"/>
      <c r="E127" s="212">
        <f t="shared" si="74"/>
        <v>3410</v>
      </c>
      <c r="F127" s="214" t="str">
        <f t="shared" si="85"/>
        <v>2152-6319</v>
      </c>
      <c r="G127" s="106"/>
      <c r="H127" s="102" t="str">
        <f t="shared" si="80"/>
        <v/>
      </c>
      <c r="I127" s="197"/>
      <c r="J127" s="215">
        <f>IFERROR(__xludf.DUMMYFUNCTION("IFERROR(SUMPRODUCT(FILTER('FY22 Budget'!$F$2:$AC$71,'FY22 Budget'!$C$2:$C$71=$F127),'FY22 Budget'!$F$1:$AC$1&lt;=$K$4),"""")"),0.0)</f>
        <v>0</v>
      </c>
      <c r="K127" s="216" t="str">
        <f t="shared" si="82"/>
        <v/>
      </c>
      <c r="L127" s="204"/>
      <c r="M127" s="215" t="str">
        <f>_xludf.IFNA(VLOOKUP($F127,'FY22 Budget Update'!$C:$E,3,FALSE),0)</f>
        <v>#NAME?</v>
      </c>
      <c r="N127" s="216" t="str">
        <f t="shared" si="86"/>
        <v/>
      </c>
      <c r="O127" s="197"/>
      <c r="P127" s="106">
        <f>IFERROR(__xludf.DUMMYFUNCTION("IFERROR(SUMPRODUCT(FILTER('FY22 Budget Update'!$F$2:$AC$72,'FY22 Budget Update'!$C$2:$C$72=$F127),'FY22 Budget Update'!$F$1:$AC$1&lt;=$K$4),"""")"),0.0)</f>
        <v>0</v>
      </c>
      <c r="Q127" s="102" t="str">
        <f t="shared" si="84"/>
        <v/>
      </c>
      <c r="R127" s="197"/>
    </row>
    <row r="128">
      <c r="A128" s="265" t="s">
        <v>378</v>
      </c>
      <c r="B128" s="222">
        <v>9760.75</v>
      </c>
      <c r="C128" s="213"/>
      <c r="D128" s="213"/>
      <c r="E128" s="212">
        <f t="shared" si="74"/>
        <v>9760.75</v>
      </c>
      <c r="F128" s="214" t="str">
        <f t="shared" si="85"/>
        <v>2162-6319</v>
      </c>
      <c r="G128" s="106"/>
      <c r="H128" s="102" t="str">
        <f t="shared" si="80"/>
        <v/>
      </c>
      <c r="I128" s="197"/>
      <c r="J128" s="215">
        <f>IFERROR(__xludf.DUMMYFUNCTION("IFERROR(SUMPRODUCT(FILTER('FY22 Budget'!$F$2:$AC$71,'FY22 Budget'!$C$2:$C$71=$F128),'FY22 Budget'!$F$1:$AC$1&lt;=$K$4),"""")"),0.0)</f>
        <v>0</v>
      </c>
      <c r="K128" s="216" t="str">
        <f t="shared" si="82"/>
        <v/>
      </c>
      <c r="L128" s="204"/>
      <c r="M128" s="215" t="str">
        <f>_xludf.IFNA(VLOOKUP($F128,'FY22 Budget Update'!$C:$E,3,FALSE),0)</f>
        <v>#NAME?</v>
      </c>
      <c r="N128" s="216" t="str">
        <f t="shared" si="86"/>
        <v/>
      </c>
      <c r="O128" s="197"/>
      <c r="P128" s="106">
        <f>IFERROR(__xludf.DUMMYFUNCTION("IFERROR(SUMPRODUCT(FILTER('FY22 Budget Update'!$F$2:$AC$72,'FY22 Budget Update'!$C$2:$C$72=$F128),'FY22 Budget Update'!$F$1:$AC$1&lt;=$K$4),"""")"),0.0)</f>
        <v>0</v>
      </c>
      <c r="Q128" s="102" t="str">
        <f t="shared" si="84"/>
        <v/>
      </c>
      <c r="R128" s="197"/>
    </row>
    <row r="129">
      <c r="A129" s="265" t="s">
        <v>379</v>
      </c>
      <c r="B129" s="222"/>
      <c r="C129" s="213"/>
      <c r="D129" s="213"/>
      <c r="E129" s="212">
        <f t="shared" si="74"/>
        <v>0</v>
      </c>
      <c r="F129" s="214" t="str">
        <f t="shared" si="85"/>
        <v>2191-6319</v>
      </c>
      <c r="G129" s="106"/>
      <c r="H129" s="102" t="str">
        <f t="shared" si="80"/>
        <v/>
      </c>
      <c r="I129" s="197"/>
      <c r="J129" s="215">
        <f>IFERROR(__xludf.DUMMYFUNCTION("IFERROR(SUMPRODUCT(FILTER('FY22 Budget'!$F$2:$AC$71,'FY22 Budget'!$C$2:$C$71=$F129),'FY22 Budget'!$F$1:$AC$1&lt;=$K$4),"""")"),0.0)</f>
        <v>0</v>
      </c>
      <c r="K129" s="216" t="str">
        <f t="shared" si="82"/>
        <v/>
      </c>
      <c r="L129" s="204"/>
      <c r="M129" s="215" t="str">
        <f>_xludf.IFNA(VLOOKUP($F129,'FY22 Budget Update'!$C:$E,3,FALSE),0)</f>
        <v>#NAME?</v>
      </c>
      <c r="N129" s="216" t="str">
        <f t="shared" si="86"/>
        <v/>
      </c>
      <c r="O129" s="197"/>
      <c r="P129" s="106">
        <f>IFERROR(__xludf.DUMMYFUNCTION("IFERROR(SUMPRODUCT(FILTER('FY22 Budget Update'!$F$2:$AC$72,'FY22 Budget Update'!$C$2:$C$72=$F129),'FY22 Budget Update'!$F$1:$AC$1&lt;=$K$4),"""")"),0.0)</f>
        <v>0</v>
      </c>
      <c r="Q129" s="102" t="str">
        <f t="shared" si="84"/>
        <v/>
      </c>
      <c r="R129" s="197"/>
    </row>
    <row r="130">
      <c r="A130" s="265" t="s">
        <v>380</v>
      </c>
      <c r="B130" s="222">
        <v>2624.86</v>
      </c>
      <c r="C130" s="213"/>
      <c r="D130" s="213"/>
      <c r="E130" s="212">
        <f t="shared" si="74"/>
        <v>2624.86</v>
      </c>
      <c r="F130" s="214"/>
      <c r="G130" s="106"/>
      <c r="H130" s="102"/>
      <c r="I130" s="197"/>
      <c r="J130" s="215"/>
      <c r="K130" s="216"/>
      <c r="L130" s="204"/>
      <c r="M130" s="215"/>
      <c r="N130" s="216"/>
      <c r="O130" s="197"/>
      <c r="P130" s="106"/>
      <c r="Q130" s="102"/>
      <c r="R130" s="197"/>
    </row>
    <row r="131">
      <c r="A131" s="265" t="s">
        <v>381</v>
      </c>
      <c r="B131" s="222">
        <v>878.61</v>
      </c>
      <c r="C131" s="213"/>
      <c r="D131" s="213"/>
      <c r="E131" s="212">
        <f t="shared" si="74"/>
        <v>878.61</v>
      </c>
      <c r="F131" s="214"/>
      <c r="G131" s="106"/>
      <c r="H131" s="102" t="str">
        <f t="shared" ref="H131:H133" si="87">IFERROR(E131/G131,"")</f>
        <v/>
      </c>
      <c r="I131" s="197"/>
      <c r="J131" s="215"/>
      <c r="K131" s="216"/>
      <c r="L131" s="204"/>
      <c r="M131" s="215"/>
      <c r="N131" s="216"/>
      <c r="O131" s="197"/>
      <c r="P131" s="106"/>
      <c r="Q131" s="102"/>
      <c r="R131" s="197"/>
    </row>
    <row r="132">
      <c r="A132" s="265" t="s">
        <v>382</v>
      </c>
      <c r="B132" s="222"/>
      <c r="C132" s="213"/>
      <c r="D132" s="213"/>
      <c r="E132" s="212">
        <f t="shared" si="74"/>
        <v>0</v>
      </c>
      <c r="F132" s="214"/>
      <c r="G132" s="106"/>
      <c r="H132" s="102" t="str">
        <f t="shared" si="87"/>
        <v/>
      </c>
      <c r="I132" s="197"/>
      <c r="J132" s="215"/>
      <c r="K132" s="216"/>
      <c r="L132" s="204"/>
      <c r="M132" s="215"/>
      <c r="N132" s="216"/>
      <c r="O132" s="197"/>
      <c r="P132" s="106"/>
      <c r="Q132" s="102"/>
      <c r="R132" s="197"/>
    </row>
    <row r="133">
      <c r="A133" s="265" t="s">
        <v>383</v>
      </c>
      <c r="B133" s="222"/>
      <c r="C133" s="213"/>
      <c r="D133" s="213"/>
      <c r="E133" s="212">
        <f t="shared" si="74"/>
        <v>0</v>
      </c>
      <c r="F133" s="214" t="str">
        <f>LEFT(TRIM(A131),9)</f>
        <v>2211-6411</v>
      </c>
      <c r="G133" s="106"/>
      <c r="H133" s="102" t="str">
        <f t="shared" si="87"/>
        <v/>
      </c>
      <c r="I133" s="197"/>
      <c r="J133" s="215" t="str">
        <f>IFERROR(__xludf.DUMMYFUNCTION("IFERROR(SUMPRODUCT(FILTER('FY22 Budget'!$F$2:$AC$71,'FY22 Budget'!$C$2:$C$71=$F133),'FY22 Budget'!$F$1:$AC$1&lt;=$K$4),"""")"),"")</f>
        <v/>
      </c>
      <c r="K133" s="216" t="str">
        <f t="shared" ref="K133:K134" si="89">IFERROR($E133/J133,"")</f>
        <v/>
      </c>
      <c r="L133" s="204"/>
      <c r="M133" s="215" t="str">
        <f>_xludf.IFNA(VLOOKUP($F133,'FY22 Budget Update'!$C:$E,3,FALSE),0)</f>
        <v>#NAME?</v>
      </c>
      <c r="N133" s="216" t="str">
        <f t="shared" ref="N133:N134" si="90">IFERROR($E133/M133,"")</f>
        <v/>
      </c>
      <c r="O133" s="197"/>
      <c r="P133" s="106" t="str">
        <f>IFERROR(__xludf.DUMMYFUNCTION("IFERROR(SUMPRODUCT(FILTER('FY22 Budget Update'!$F$2:$AC$72,'FY22 Budget Update'!$C$2:$C$72=$F133),'FY22 Budget Update'!$F$1:$AC$1&lt;=$K$4),"""")"),"")</f>
        <v/>
      </c>
      <c r="Q133" s="102" t="str">
        <f t="shared" ref="Q133:Q134" si="91">IFERROR($E133/P133,"")</f>
        <v/>
      </c>
      <c r="R133" s="197"/>
    </row>
    <row r="134">
      <c r="A134" s="265" t="s">
        <v>384</v>
      </c>
      <c r="B134" s="271">
        <f t="shared" ref="B134:E134" si="88">SUM(B104:B133)</f>
        <v>87463.41</v>
      </c>
      <c r="C134" s="218">
        <f t="shared" si="88"/>
        <v>0</v>
      </c>
      <c r="D134" s="218">
        <f t="shared" si="88"/>
        <v>0</v>
      </c>
      <c r="E134" s="218">
        <f t="shared" si="88"/>
        <v>87463.41</v>
      </c>
      <c r="F134" s="214" t="str">
        <f t="shared" ref="F134:F135" si="92">LEFT(TRIM(A134),9)</f>
        <v>Total 000</v>
      </c>
      <c r="G134" s="108">
        <v>612174.0</v>
      </c>
      <c r="H134" s="227">
        <f>IFERROR($E134/G134,"")</f>
        <v>0.1428734477</v>
      </c>
      <c r="I134" s="197"/>
      <c r="J134" s="220">
        <f>SUM(J104:J133)</f>
        <v>0</v>
      </c>
      <c r="K134" s="221" t="str">
        <f t="shared" si="89"/>
        <v/>
      </c>
      <c r="L134" s="204"/>
      <c r="M134" s="220" t="str">
        <f>SUM(M104:M133)</f>
        <v>#NAME?</v>
      </c>
      <c r="N134" s="221" t="str">
        <f t="shared" si="90"/>
        <v/>
      </c>
      <c r="O134" s="197"/>
      <c r="P134" s="108">
        <f>SUM(P104:P133)</f>
        <v>0</v>
      </c>
      <c r="Q134" s="112" t="str">
        <f t="shared" si="91"/>
        <v/>
      </c>
      <c r="R134" s="197"/>
    </row>
    <row r="135">
      <c r="A135" s="272" t="s">
        <v>385</v>
      </c>
      <c r="B135" s="213"/>
      <c r="C135" s="213"/>
      <c r="D135" s="213"/>
      <c r="E135" s="212"/>
      <c r="F135" s="214" t="str">
        <f t="shared" si="92"/>
        <v>0000-6XXX</v>
      </c>
      <c r="G135" s="106"/>
      <c r="H135" s="102" t="str">
        <f t="shared" ref="H135:H145" si="93">IFERROR(E135/G135,"")</f>
        <v/>
      </c>
      <c r="I135" s="197"/>
      <c r="J135" s="215"/>
      <c r="K135" s="216"/>
      <c r="L135" s="204"/>
      <c r="M135" s="215"/>
      <c r="N135" s="216" t="str">
        <f>IFERROR(K135/M135,"")</f>
        <v/>
      </c>
      <c r="O135" s="197"/>
      <c r="P135" s="106"/>
      <c r="Q135" s="102"/>
      <c r="R135" s="197"/>
    </row>
    <row r="136">
      <c r="A136" s="272" t="s">
        <v>386</v>
      </c>
      <c r="B136" s="222"/>
      <c r="C136" s="213"/>
      <c r="D136" s="213"/>
      <c r="E136" s="212">
        <f t="shared" ref="E136:E145" si="94">SUM(B136:D136)</f>
        <v>0</v>
      </c>
      <c r="F136" s="214"/>
      <c r="G136" s="215"/>
      <c r="H136" s="102" t="str">
        <f t="shared" si="93"/>
        <v/>
      </c>
      <c r="I136" s="197"/>
      <c r="J136" s="215"/>
      <c r="K136" s="216"/>
      <c r="L136" s="204"/>
      <c r="M136" s="215"/>
      <c r="N136" s="216"/>
      <c r="O136" s="197"/>
      <c r="P136" s="106"/>
      <c r="Q136" s="102"/>
      <c r="R136" s="197"/>
    </row>
    <row r="137">
      <c r="A137" s="272" t="s">
        <v>387</v>
      </c>
      <c r="B137" s="222"/>
      <c r="C137" s="213"/>
      <c r="D137" s="213"/>
      <c r="E137" s="212">
        <f t="shared" si="94"/>
        <v>0</v>
      </c>
      <c r="F137" s="214" t="str">
        <f>LEFT(TRIM(A137),9)</f>
        <v>2134-6411</v>
      </c>
      <c r="G137" s="215"/>
      <c r="H137" s="102" t="str">
        <f t="shared" si="93"/>
        <v/>
      </c>
      <c r="I137" s="197"/>
      <c r="J137" s="215">
        <f>IFERROR(__xludf.DUMMYFUNCTION("IFERROR(SUMPRODUCT(FILTER('FY22 Budget'!$F$2:$AC$71,'FY22 Budget'!$C$2:$C$71=$F137),'FY22 Budget'!$F$1:$AC$1&lt;=$K$4),"""")"),0.0)</f>
        <v>0</v>
      </c>
      <c r="K137" s="216" t="str">
        <f>IFERROR($E137/J137,"")</f>
        <v/>
      </c>
      <c r="L137" s="204"/>
      <c r="M137" s="215" t="str">
        <f>_xludf.IFNA(VLOOKUP($F137,'FY22 Budget Update'!$C:$E,3,FALSE),0)</f>
        <v>#NAME?</v>
      </c>
      <c r="N137" s="216" t="str">
        <f>IFERROR($E137/M137,"")</f>
        <v/>
      </c>
      <c r="O137" s="197"/>
      <c r="P137" s="106">
        <f>IFERROR(__xludf.DUMMYFUNCTION("IFERROR(SUMPRODUCT(FILTER('FY22 Budget Update'!$F$2:$AC$72,'FY22 Budget Update'!$C$2:$C$72=$F137),'FY22 Budget Update'!$F$1:$AC$1&lt;=$K$4),"""")"),0.0)</f>
        <v>0</v>
      </c>
      <c r="Q137" s="102" t="str">
        <f>IFERROR($E137/P137,"")</f>
        <v/>
      </c>
      <c r="R137" s="197"/>
    </row>
    <row r="138">
      <c r="A138" s="272" t="s">
        <v>388</v>
      </c>
      <c r="B138" s="222">
        <v>2000.0</v>
      </c>
      <c r="C138" s="213"/>
      <c r="D138" s="213"/>
      <c r="E138" s="212">
        <f t="shared" si="94"/>
        <v>2000</v>
      </c>
      <c r="F138" s="214"/>
      <c r="G138" s="106"/>
      <c r="H138" s="102" t="str">
        <f t="shared" si="93"/>
        <v/>
      </c>
      <c r="I138" s="197"/>
      <c r="J138" s="215"/>
      <c r="K138" s="216"/>
      <c r="L138" s="204"/>
      <c r="M138" s="215"/>
      <c r="N138" s="216"/>
      <c r="O138" s="197"/>
      <c r="P138" s="106"/>
      <c r="Q138" s="102"/>
      <c r="R138" s="197"/>
    </row>
    <row r="139">
      <c r="A139" s="272" t="s">
        <v>389</v>
      </c>
      <c r="B139" s="222"/>
      <c r="C139" s="213"/>
      <c r="D139" s="213"/>
      <c r="E139" s="212">
        <f t="shared" si="94"/>
        <v>0</v>
      </c>
      <c r="F139" s="214"/>
      <c r="G139" s="106"/>
      <c r="H139" s="102" t="str">
        <f t="shared" si="93"/>
        <v/>
      </c>
      <c r="I139" s="197"/>
      <c r="J139" s="215"/>
      <c r="K139" s="216"/>
      <c r="L139" s="204"/>
      <c r="M139" s="215"/>
      <c r="N139" s="216"/>
      <c r="O139" s="197"/>
      <c r="P139" s="106"/>
      <c r="Q139" s="102"/>
      <c r="R139" s="197"/>
    </row>
    <row r="140">
      <c r="A140" s="272" t="s">
        <v>390</v>
      </c>
      <c r="B140" s="222"/>
      <c r="C140" s="213"/>
      <c r="D140" s="213"/>
      <c r="E140" s="212">
        <f t="shared" si="94"/>
        <v>0</v>
      </c>
      <c r="F140" s="214" t="str">
        <f t="shared" ref="F140:F143" si="95">LEFT(TRIM(A140),9)</f>
        <v>2562-6319</v>
      </c>
      <c r="G140" s="106"/>
      <c r="H140" s="102" t="str">
        <f t="shared" si="93"/>
        <v/>
      </c>
      <c r="I140" s="197"/>
      <c r="J140" s="215">
        <f>IFERROR(__xludf.DUMMYFUNCTION("IFERROR(SUMPRODUCT(FILTER('FY22 Budget'!$F$2:$AC$71,'FY22 Budget'!$C$2:$C$71=$F140),'FY22 Budget'!$F$1:$AC$1&lt;=$K$4),"""")"),0.0)</f>
        <v>0</v>
      </c>
      <c r="K140" s="216" t="str">
        <f t="shared" ref="K140:K143" si="96">IFERROR($E140/J140,"")</f>
        <v/>
      </c>
      <c r="L140" s="204"/>
      <c r="M140" s="215" t="str">
        <f>_xludf.IFNA(VLOOKUP($F140,'FY22 Budget Update'!$C:$E,3,FALSE),0)</f>
        <v>#NAME?</v>
      </c>
      <c r="N140" s="216" t="str">
        <f t="shared" ref="N140:N143" si="97">IFERROR($E140/M140,"")</f>
        <v/>
      </c>
      <c r="O140" s="197"/>
      <c r="P140" s="106">
        <f>IFERROR(__xludf.DUMMYFUNCTION("IFERROR(SUMPRODUCT(FILTER('FY22 Budget Update'!$F$2:$AC$72,'FY22 Budget Update'!$C$2:$C$72=$F140),'FY22 Budget Update'!$F$1:$AC$1&lt;=$K$4),"""")"),0.0)</f>
        <v>0</v>
      </c>
      <c r="Q140" s="102" t="str">
        <f t="shared" ref="Q140:Q143" si="98">IFERROR($E140/P140,"")</f>
        <v/>
      </c>
      <c r="R140" s="197"/>
    </row>
    <row r="141">
      <c r="A141" s="272" t="s">
        <v>391</v>
      </c>
      <c r="B141" s="222">
        <v>1113.6</v>
      </c>
      <c r="C141" s="213"/>
      <c r="D141" s="213"/>
      <c r="E141" s="212">
        <f t="shared" si="94"/>
        <v>1113.6</v>
      </c>
      <c r="F141" s="214" t="str">
        <f t="shared" si="95"/>
        <v>2562-6471</v>
      </c>
      <c r="G141" s="106">
        <v>139130.0</v>
      </c>
      <c r="H141" s="102">
        <f t="shared" si="93"/>
        <v>0.008004025013</v>
      </c>
      <c r="I141" s="197"/>
      <c r="J141" s="215">
        <v>119454.96</v>
      </c>
      <c r="K141" s="216">
        <f t="shared" si="96"/>
        <v>0.009322342078</v>
      </c>
      <c r="L141" s="204"/>
      <c r="M141" s="215" t="str">
        <f>_xludf.IFNA(VLOOKUP($F141,'FY22 Budget Update'!$C:$E,3,FALSE),0)</f>
        <v>#NAME?</v>
      </c>
      <c r="N141" s="216" t="str">
        <f t="shared" si="97"/>
        <v/>
      </c>
      <c r="O141" s="197"/>
      <c r="P141" s="106" t="str">
        <f>IFERROR(__xludf.DUMMYFUNCTION("IFERROR(SUMPRODUCT(FILTER('FY22 Budget Update'!$F$2:$AC$72,'FY22 Budget Update'!$C$2:$C$72=$F141),'FY22 Budget Update'!$F$1:$AC$1&lt;=$K$4),"""")"),"")</f>
        <v/>
      </c>
      <c r="Q141" s="102" t="str">
        <f t="shared" si="98"/>
        <v/>
      </c>
      <c r="R141" s="197"/>
    </row>
    <row r="142">
      <c r="A142" s="272" t="s">
        <v>392</v>
      </c>
      <c r="B142" s="222"/>
      <c r="C142" s="213"/>
      <c r="D142" s="213"/>
      <c r="E142" s="212">
        <f t="shared" si="94"/>
        <v>0</v>
      </c>
      <c r="F142" s="214" t="str">
        <f t="shared" si="95"/>
        <v>2562-6411</v>
      </c>
      <c r="G142" s="106"/>
      <c r="H142" s="102" t="str">
        <f t="shared" si="93"/>
        <v/>
      </c>
      <c r="I142" s="197"/>
      <c r="J142" s="215">
        <f>IFERROR(__xludf.DUMMYFUNCTION("IFERROR(SUMPRODUCT(FILTER('FY22 Budget'!$F$2:$AC$71,'FY22 Budget'!$C$2:$C$71=$F142),'FY22 Budget'!$F$1:$AC$1&lt;=$K$4),"""")"),0.0)</f>
        <v>0</v>
      </c>
      <c r="K142" s="216" t="str">
        <f t="shared" si="96"/>
        <v/>
      </c>
      <c r="L142" s="204"/>
      <c r="M142" s="215" t="str">
        <f>_xludf.IFNA(VLOOKUP($F142,'FY22 Budget Update'!$C:$E,3,FALSE),0)</f>
        <v>#NAME?</v>
      </c>
      <c r="N142" s="216" t="str">
        <f t="shared" si="97"/>
        <v/>
      </c>
      <c r="O142" s="197"/>
      <c r="P142" s="106">
        <f>IFERROR(__xludf.DUMMYFUNCTION("IFERROR(SUMPRODUCT(FILTER('FY22 Budget Update'!$F$2:$AC$72,'FY22 Budget Update'!$C$2:$C$72=$F142),'FY22 Budget Update'!$F$1:$AC$1&lt;=$K$4),"""")"),0.0)</f>
        <v>0</v>
      </c>
      <c r="Q142" s="102" t="str">
        <f t="shared" si="98"/>
        <v/>
      </c>
      <c r="R142" s="197"/>
    </row>
    <row r="143">
      <c r="A143" s="272" t="s">
        <v>393</v>
      </c>
      <c r="B143" s="222"/>
      <c r="C143" s="213"/>
      <c r="D143" s="213"/>
      <c r="E143" s="212">
        <f t="shared" si="94"/>
        <v>0</v>
      </c>
      <c r="F143" s="214" t="str">
        <f t="shared" si="95"/>
        <v>2563-6391</v>
      </c>
      <c r="G143" s="106"/>
      <c r="H143" s="102" t="str">
        <f t="shared" si="93"/>
        <v/>
      </c>
      <c r="I143" s="197"/>
      <c r="J143" s="215"/>
      <c r="K143" s="216" t="str">
        <f t="shared" si="96"/>
        <v/>
      </c>
      <c r="L143" s="273"/>
      <c r="M143" s="215" t="str">
        <f>_xludf.IFNA(VLOOKUP($F143,'FY22 Budget Update'!$C:$E,3,FALSE),0)</f>
        <v>#NAME?</v>
      </c>
      <c r="N143" s="216" t="str">
        <f t="shared" si="97"/>
        <v/>
      </c>
      <c r="O143" s="197"/>
      <c r="P143" s="106">
        <f>IFERROR(__xludf.DUMMYFUNCTION("IFERROR(SUMPRODUCT(FILTER('FY22 Budget Update'!$F$2:$AC1071,'FY22 Budget Update'!$C$2:$C1071=$F143),'FY22 Budget Update'!$F$1:$AC$1&lt;=$K$4),"""")"),0.0)</f>
        <v>0</v>
      </c>
      <c r="Q143" s="102" t="str">
        <f t="shared" si="98"/>
        <v/>
      </c>
      <c r="R143" s="197"/>
    </row>
    <row r="144">
      <c r="A144" s="272" t="s">
        <v>394</v>
      </c>
      <c r="B144" s="222">
        <v>875.0</v>
      </c>
      <c r="C144" s="213"/>
      <c r="D144" s="213"/>
      <c r="E144" s="212">
        <f t="shared" si="94"/>
        <v>875</v>
      </c>
      <c r="F144" s="214"/>
      <c r="G144" s="106"/>
      <c r="H144" s="102" t="str">
        <f t="shared" si="93"/>
        <v/>
      </c>
      <c r="I144" s="197"/>
      <c r="J144" s="215"/>
      <c r="K144" s="216"/>
      <c r="L144" s="204"/>
      <c r="M144" s="215"/>
      <c r="N144" s="216"/>
      <c r="O144" s="197"/>
      <c r="P144" s="106"/>
      <c r="Q144" s="102"/>
      <c r="R144" s="197"/>
    </row>
    <row r="145">
      <c r="A145" s="272" t="s">
        <v>395</v>
      </c>
      <c r="B145" s="222"/>
      <c r="C145" s="213"/>
      <c r="D145" s="213"/>
      <c r="E145" s="212">
        <f t="shared" si="94"/>
        <v>0</v>
      </c>
      <c r="F145" s="214" t="str">
        <f>LEFT(TRIM(A144),9)</f>
        <v>2911-6319</v>
      </c>
      <c r="G145" s="106"/>
      <c r="H145" s="102" t="str">
        <f t="shared" si="93"/>
        <v/>
      </c>
      <c r="I145" s="197"/>
      <c r="J145" s="215">
        <f>IFERROR(__xludf.DUMMYFUNCTION("IFERROR(SUMPRODUCT(FILTER('FY22 Budget'!$F$2:$AC$71,'FY22 Budget'!$C$2:$C$71=$F145),'FY22 Budget'!$F$1:$AC$1&lt;=$K$4),"""")"),0.0)</f>
        <v>0</v>
      </c>
      <c r="K145" s="216" t="str">
        <f t="shared" ref="K145:K146" si="100">IFERROR($E145/J145,"")</f>
        <v/>
      </c>
      <c r="L145" s="204"/>
      <c r="M145" s="215" t="str">
        <f>_xludf.IFNA(VLOOKUP($F145,'FY22 Budget Update'!$C:$E,3,FALSE),0)</f>
        <v>#NAME?</v>
      </c>
      <c r="N145" s="216" t="str">
        <f t="shared" ref="N145:N146" si="101">IFERROR($E145/M145,"")</f>
        <v/>
      </c>
      <c r="O145" s="197"/>
      <c r="P145" s="106">
        <f>IFERROR(__xludf.DUMMYFUNCTION("IFERROR(SUMPRODUCT(FILTER('FY22 Budget Update'!$F$2:$AC1071,'FY22 Budget Update'!$C$2:$C1071=$F145),'FY22 Budget Update'!$F$1:$AC$1&lt;=$K$4),"""")"),0.0)</f>
        <v>0</v>
      </c>
      <c r="Q145" s="102" t="str">
        <f t="shared" ref="Q145:Q146" si="102">IFERROR($E145/P145,"")</f>
        <v/>
      </c>
      <c r="R145" s="197"/>
    </row>
    <row r="146">
      <c r="A146" s="272" t="s">
        <v>396</v>
      </c>
      <c r="B146" s="218">
        <f t="shared" ref="B146:E146" si="99">SUM(B136:B145)</f>
        <v>3988.6</v>
      </c>
      <c r="C146" s="274">
        <f t="shared" si="99"/>
        <v>0</v>
      </c>
      <c r="D146" s="274">
        <f t="shared" si="99"/>
        <v>0</v>
      </c>
      <c r="E146" s="274">
        <f t="shared" si="99"/>
        <v>3988.6</v>
      </c>
      <c r="F146" s="214" t="str">
        <f t="shared" ref="F146:F149" si="103">LEFT(TRIM(A146),9)</f>
        <v>Total 000</v>
      </c>
      <c r="G146" s="108">
        <f>SUM(G136:G145)</f>
        <v>139130</v>
      </c>
      <c r="H146" s="219">
        <f>IFERROR($E146/G146,"")</f>
        <v>0.02866815209</v>
      </c>
      <c r="I146" s="197"/>
      <c r="J146" s="220">
        <f>SUM(J137:J145)</f>
        <v>119454.96</v>
      </c>
      <c r="K146" s="221">
        <f t="shared" si="100"/>
        <v>0.03338999067</v>
      </c>
      <c r="L146" s="204"/>
      <c r="M146" s="220" t="str">
        <f>SUM(M137:M145)</f>
        <v>#NAME?</v>
      </c>
      <c r="N146" s="221" t="str">
        <f t="shared" si="101"/>
        <v/>
      </c>
      <c r="O146" s="197"/>
      <c r="P146" s="108">
        <f>SUM(P137:P145)</f>
        <v>0</v>
      </c>
      <c r="Q146" s="112" t="str">
        <f t="shared" si="102"/>
        <v/>
      </c>
      <c r="R146" s="197"/>
    </row>
    <row r="147">
      <c r="A147" s="275" t="s">
        <v>397</v>
      </c>
      <c r="B147" s="213"/>
      <c r="C147" s="213"/>
      <c r="D147" s="213"/>
      <c r="E147" s="212"/>
      <c r="F147" s="214" t="str">
        <f t="shared" si="103"/>
        <v>0000-6XXX</v>
      </c>
      <c r="G147" s="106"/>
      <c r="H147" s="102" t="str">
        <f t="shared" ref="H147:H161" si="104">IFERROR(E147/G147,"")</f>
        <v/>
      </c>
      <c r="I147" s="197"/>
      <c r="J147" s="215"/>
      <c r="K147" s="216"/>
      <c r="L147" s="204"/>
      <c r="M147" s="215"/>
      <c r="N147" s="216" t="str">
        <f>IFERROR(K147/M147,"")</f>
        <v/>
      </c>
      <c r="O147" s="197"/>
      <c r="P147" s="106"/>
      <c r="Q147" s="102"/>
      <c r="R147" s="197"/>
    </row>
    <row r="148">
      <c r="A148" s="275" t="s">
        <v>398</v>
      </c>
      <c r="B148" s="222"/>
      <c r="C148" s="213"/>
      <c r="D148" s="213"/>
      <c r="E148" s="212">
        <f t="shared" ref="E148:E184" si="105">SUM(B148:D148)</f>
        <v>0</v>
      </c>
      <c r="F148" s="214" t="str">
        <f t="shared" si="103"/>
        <v>2311-6315</v>
      </c>
      <c r="G148" s="106"/>
      <c r="H148" s="102" t="str">
        <f t="shared" si="104"/>
        <v/>
      </c>
      <c r="I148" s="197"/>
      <c r="J148" s="215">
        <f>IFERROR(__xludf.DUMMYFUNCTION("IFERROR(SUMPRODUCT(FILTER('FY22 Budget'!$F$2:$AC$71,'FY22 Budget'!$C$2:$C$71=$F148),'FY22 Budget'!$F$1:$AC$1&lt;=$K$4),"""")"),0.0)</f>
        <v>0</v>
      </c>
      <c r="K148" s="216" t="str">
        <f t="shared" ref="K148:K149" si="106">IFERROR($E148/J148,"")</f>
        <v/>
      </c>
      <c r="L148" s="204"/>
      <c r="M148" s="215" t="str">
        <f>_xludf.IFNA(VLOOKUP($F148,'FY22 Budget Update'!$C:$E,3,FALSE),0)</f>
        <v>#NAME?</v>
      </c>
      <c r="N148" s="216" t="str">
        <f t="shared" ref="N148:N149" si="107">IFERROR($E148/M148,"")</f>
        <v/>
      </c>
      <c r="O148" s="197"/>
      <c r="P148" s="106">
        <f>IFERROR(__xludf.DUMMYFUNCTION("IFERROR(SUMPRODUCT(FILTER('FY22 Budget Update'!$F$2:$AC$72,'FY22 Budget Update'!$C$2:$C$72=$F148),'FY22 Budget Update'!$F$1:$AC$1&lt;=$K$4),"""")"),0.0)</f>
        <v>0</v>
      </c>
      <c r="Q148" s="102" t="str">
        <f t="shared" ref="Q148:Q149" si="108">IFERROR($E148/P148,"")</f>
        <v/>
      </c>
      <c r="R148" s="197"/>
    </row>
    <row r="149">
      <c r="A149" s="275" t="s">
        <v>399</v>
      </c>
      <c r="B149" s="222">
        <v>10227.45</v>
      </c>
      <c r="C149" s="213"/>
      <c r="D149" s="213"/>
      <c r="E149" s="212">
        <f t="shared" si="105"/>
        <v>10227.45</v>
      </c>
      <c r="F149" s="214" t="str">
        <f t="shared" si="103"/>
        <v>2311-6317</v>
      </c>
      <c r="G149" s="106"/>
      <c r="H149" s="102" t="str">
        <f t="shared" si="104"/>
        <v/>
      </c>
      <c r="I149" s="197"/>
      <c r="J149" s="215">
        <f>IFERROR(__xludf.DUMMYFUNCTION("IFERROR(SUMPRODUCT(FILTER('FY22 Budget'!$F$2:$AC$71,'FY22 Budget'!$C$2:$C$71=$F149),'FY22 Budget'!$F$1:$AC$1&lt;=$K$4),"""")"),0.0)</f>
        <v>0</v>
      </c>
      <c r="K149" s="216" t="str">
        <f t="shared" si="106"/>
        <v/>
      </c>
      <c r="L149" s="204"/>
      <c r="M149" s="215" t="str">
        <f>_xludf.IFNA(VLOOKUP($F149,'FY22 Budget Update'!$C:$E,3,FALSE),0)</f>
        <v>#NAME?</v>
      </c>
      <c r="N149" s="216" t="str">
        <f t="shared" si="107"/>
        <v/>
      </c>
      <c r="O149" s="197"/>
      <c r="P149" s="106">
        <f>IFERROR(__xludf.DUMMYFUNCTION("IFERROR(SUMPRODUCT(FILTER('FY22 Budget Update'!$F$2:$AC$72,'FY22 Budget Update'!$C$2:$C$72=$F149),'FY22 Budget Update'!$F$1:$AC$1&lt;=$K$4),"""")"),0.0)</f>
        <v>0</v>
      </c>
      <c r="Q149" s="102" t="str">
        <f t="shared" si="108"/>
        <v/>
      </c>
      <c r="R149" s="197"/>
    </row>
    <row r="150">
      <c r="A150" s="275" t="s">
        <v>400</v>
      </c>
      <c r="B150" s="222"/>
      <c r="C150" s="213"/>
      <c r="D150" s="213"/>
      <c r="E150" s="212">
        <f t="shared" si="105"/>
        <v>0</v>
      </c>
      <c r="F150" s="214"/>
      <c r="G150" s="106"/>
      <c r="H150" s="102" t="str">
        <f t="shared" si="104"/>
        <v/>
      </c>
      <c r="I150" s="197"/>
      <c r="J150" s="215"/>
      <c r="K150" s="216"/>
      <c r="L150" s="204"/>
      <c r="M150" s="215"/>
      <c r="N150" s="216"/>
      <c r="O150" s="197"/>
      <c r="P150" s="106"/>
      <c r="Q150" s="102"/>
      <c r="R150" s="197"/>
    </row>
    <row r="151">
      <c r="A151" s="275" t="s">
        <v>401</v>
      </c>
      <c r="B151" s="222">
        <v>3059.0</v>
      </c>
      <c r="C151" s="213"/>
      <c r="D151" s="213"/>
      <c r="E151" s="212">
        <f t="shared" si="105"/>
        <v>3059</v>
      </c>
      <c r="F151" s="214" t="str">
        <f t="shared" ref="F151:F154" si="109">LEFT(TRIM(A151),9)</f>
        <v>2311-6352</v>
      </c>
      <c r="G151" s="106"/>
      <c r="H151" s="102" t="str">
        <f t="shared" si="104"/>
        <v/>
      </c>
      <c r="I151" s="197"/>
      <c r="J151" s="215">
        <f>IFERROR(__xludf.DUMMYFUNCTION("IFERROR(SUMPRODUCT(FILTER('FY22 Budget'!$F$2:$AC$71,'FY22 Budget'!$C$2:$C$71=$F151),'FY22 Budget'!$F$1:$AC$1&lt;=$K$4),"""")"),0.0)</f>
        <v>0</v>
      </c>
      <c r="K151" s="216" t="str">
        <f t="shared" ref="K151:K154" si="110">IFERROR($E151/J151,"")</f>
        <v/>
      </c>
      <c r="L151" s="204"/>
      <c r="M151" s="215" t="str">
        <f>_xludf.IFNA(VLOOKUP($F151,'FY22 Budget Update'!$C:$E,3,FALSE),0)</f>
        <v>#NAME?</v>
      </c>
      <c r="N151" s="216" t="str">
        <f t="shared" ref="N151:N153" si="111">IFERROR($E151/M151,"")</f>
        <v/>
      </c>
      <c r="O151" s="197"/>
      <c r="P151" s="106">
        <f>IFERROR(__xludf.DUMMYFUNCTION("IFERROR(SUMPRODUCT(FILTER('FY22 Budget Update'!$F$2:$AC$72,'FY22 Budget Update'!$C$2:$C$72=$F151),'FY22 Budget Update'!$F$1:$AC$1&lt;=$K$4),"""")"),0.0)</f>
        <v>0</v>
      </c>
      <c r="Q151" s="102" t="str">
        <f t="shared" ref="Q151:Q154" si="112">IFERROR($E151/P151,"")</f>
        <v/>
      </c>
      <c r="R151" s="197"/>
    </row>
    <row r="152">
      <c r="A152" s="275" t="s">
        <v>402</v>
      </c>
      <c r="B152" s="222"/>
      <c r="C152" s="213"/>
      <c r="D152" s="213"/>
      <c r="E152" s="212">
        <f t="shared" si="105"/>
        <v>0</v>
      </c>
      <c r="F152" s="214" t="str">
        <f t="shared" si="109"/>
        <v>2321-6271</v>
      </c>
      <c r="G152" s="106"/>
      <c r="H152" s="102" t="str">
        <f t="shared" si="104"/>
        <v/>
      </c>
      <c r="I152" s="197"/>
      <c r="J152" s="215">
        <f>IFERROR(__xludf.DUMMYFUNCTION("IFERROR(SUMPRODUCT(FILTER('FY22 Budget'!$F$2:$AC$71,'FY22 Budget'!$C$2:$C$71=$F152),'FY22 Budget'!$F$1:$AC$1&lt;=$K$4),"""")"),0.0)</f>
        <v>0</v>
      </c>
      <c r="K152" s="216" t="str">
        <f t="shared" si="110"/>
        <v/>
      </c>
      <c r="L152" s="204"/>
      <c r="M152" s="215" t="str">
        <f>_xludf.IFNA(VLOOKUP($F152,'FY22 Budget Update'!$C:$E,3,FALSE),0)</f>
        <v>#NAME?</v>
      </c>
      <c r="N152" s="216" t="str">
        <f t="shared" si="111"/>
        <v/>
      </c>
      <c r="O152" s="197"/>
      <c r="P152" s="106">
        <f>IFERROR(__xludf.DUMMYFUNCTION("IFERROR(SUMPRODUCT(FILTER('FY22 Budget Update'!$F$2:$AC$72,'FY22 Budget Update'!$C$2:$C$72=$F152),'FY22 Budget Update'!$F$1:$AC$1&lt;=$K$4),"""")"),0.0)</f>
        <v>0</v>
      </c>
      <c r="Q152" s="102" t="str">
        <f t="shared" si="112"/>
        <v/>
      </c>
      <c r="R152" s="197"/>
    </row>
    <row r="153">
      <c r="A153" s="275" t="s">
        <v>403</v>
      </c>
      <c r="B153" s="222">
        <v>60275.0</v>
      </c>
      <c r="C153" s="213"/>
      <c r="D153" s="213"/>
      <c r="E153" s="212">
        <f t="shared" si="105"/>
        <v>60275</v>
      </c>
      <c r="F153" s="214" t="str">
        <f t="shared" si="109"/>
        <v>2321-6319</v>
      </c>
      <c r="G153" s="106"/>
      <c r="H153" s="102" t="str">
        <f t="shared" si="104"/>
        <v/>
      </c>
      <c r="I153" s="197"/>
      <c r="J153" s="215">
        <f>IFERROR(__xludf.DUMMYFUNCTION("IFERROR(SUMPRODUCT(FILTER('FY22 Budget'!$F$2:$AC$71,'FY22 Budget'!$C$2:$C$71=$F153),'FY22 Budget'!$F$1:$AC$1&lt;=$K$4),"""")"),0.0)</f>
        <v>0</v>
      </c>
      <c r="K153" s="216" t="str">
        <f t="shared" si="110"/>
        <v/>
      </c>
      <c r="L153" s="204"/>
      <c r="M153" s="215" t="str">
        <f>_xludf.IFNA(VLOOKUP($F153,'FY22 Budget Update'!$C:$E,3,FALSE),0)</f>
        <v>#NAME?</v>
      </c>
      <c r="N153" s="216" t="str">
        <f t="shared" si="111"/>
        <v/>
      </c>
      <c r="O153" s="197"/>
      <c r="P153" s="106">
        <f>IFERROR(__xludf.DUMMYFUNCTION("IFERROR(SUMPRODUCT(FILTER('FY22 Budget Update'!$F$2:$AC$72,'FY22 Budget Update'!$C$2:$C$72=$F153),'FY22 Budget Update'!$F$1:$AC$1&lt;=$K$4),"""")"),0.0)</f>
        <v>0</v>
      </c>
      <c r="Q153" s="102" t="str">
        <f t="shared" si="112"/>
        <v/>
      </c>
      <c r="R153" s="197"/>
    </row>
    <row r="154">
      <c r="A154" s="275" t="s">
        <v>404</v>
      </c>
      <c r="B154" s="222">
        <v>14357.59</v>
      </c>
      <c r="C154" s="213"/>
      <c r="D154" s="213"/>
      <c r="E154" s="212">
        <f t="shared" si="105"/>
        <v>14357.59</v>
      </c>
      <c r="F154" s="214" t="str">
        <f t="shared" si="109"/>
        <v>2321-6343</v>
      </c>
      <c r="G154" s="106"/>
      <c r="H154" s="102" t="str">
        <f t="shared" si="104"/>
        <v/>
      </c>
      <c r="I154" s="197"/>
      <c r="J154" s="215" t="str">
        <f>IFERROR(__xludf.DUMMYFUNCTION("IFERROR(SUMPRODUCT(FILTER('FY22 Budget'!$F$2:$AC$71,'FY22 Budget'!$C$2:$C$71=$F154),'FY22 Budget'!$F$1:$AC$1&lt;=$K$4),"""")"),"")</f>
        <v/>
      </c>
      <c r="K154" s="216" t="str">
        <f t="shared" si="110"/>
        <v/>
      </c>
      <c r="L154" s="204"/>
      <c r="M154" s="215" t="str">
        <f>_xludf.IFNA(VLOOKUP($F154,'FY22 Budget Update'!$C:$E,3,FALSE),0)</f>
        <v>#NAME?</v>
      </c>
      <c r="N154" s="216" t="str">
        <f>IFERROR(K154/M154,"")</f>
        <v/>
      </c>
      <c r="O154" s="197"/>
      <c r="P154" s="106" t="str">
        <f>IFERROR(__xludf.DUMMYFUNCTION("IFERROR(SUMPRODUCT(FILTER('FY22 Budget Update'!$F$2:$AC$72,'FY22 Budget Update'!$C$2:$C$72=$F154),'FY22 Budget Update'!$F$1:$AC$1&lt;=$K$4),"""")"),"")</f>
        <v/>
      </c>
      <c r="Q154" s="102" t="str">
        <f t="shared" si="112"/>
        <v/>
      </c>
      <c r="R154" s="197"/>
    </row>
    <row r="155">
      <c r="A155" s="275" t="s">
        <v>405</v>
      </c>
      <c r="B155" s="222"/>
      <c r="C155" s="213"/>
      <c r="D155" s="213"/>
      <c r="E155" s="212">
        <f t="shared" si="105"/>
        <v>0</v>
      </c>
      <c r="F155" s="214"/>
      <c r="G155" s="106"/>
      <c r="H155" s="102" t="str">
        <f t="shared" si="104"/>
        <v/>
      </c>
      <c r="I155" s="197"/>
      <c r="J155" s="215" t="str">
        <f>IFERROR(__xludf.DUMMYFUNCTION("IFERROR(SUMPRODUCT(FILTER('FY22 Budget'!$F$2:$AC$71,'FY22 Budget'!$C$2:$C$71=#REF!),'FY22 Budget'!$F$1:$AC$1&lt;=$K$4),"""")"),"")</f>
        <v/>
      </c>
      <c r="K155" s="216" t="str">
        <f>IFERROR(#REF!/J155,"")</f>
        <v/>
      </c>
      <c r="L155" s="204"/>
      <c r="M155" s="215"/>
      <c r="N155" s="216"/>
      <c r="O155" s="197"/>
      <c r="P155" s="106"/>
      <c r="Q155" s="102"/>
      <c r="R155" s="197"/>
    </row>
    <row r="156">
      <c r="A156" s="275" t="s">
        <v>406</v>
      </c>
      <c r="B156" s="222">
        <v>5219.9</v>
      </c>
      <c r="C156" s="213"/>
      <c r="D156" s="213"/>
      <c r="E156" s="212">
        <f t="shared" si="105"/>
        <v>5219.9</v>
      </c>
      <c r="F156" s="214" t="str">
        <f t="shared" ref="F156:F159" si="113">LEFT(TRIM(A156),9)</f>
        <v>2321-6371</v>
      </c>
      <c r="G156" s="106"/>
      <c r="H156" s="102" t="str">
        <f t="shared" si="104"/>
        <v/>
      </c>
      <c r="I156" s="197"/>
      <c r="J156" s="215">
        <f>IFERROR(__xludf.DUMMYFUNCTION("IFERROR(SUMPRODUCT(FILTER('FY22 Budget'!$F$2:$AC$71,'FY22 Budget'!$C$2:$C$71=$F156),'FY22 Budget'!$F$1:$AC$1&lt;=$K$4),"""")"),0.0)</f>
        <v>0</v>
      </c>
      <c r="K156" s="216" t="str">
        <f t="shared" ref="K156:K159" si="114">IFERROR($E156/J156,"")</f>
        <v/>
      </c>
      <c r="L156" s="204"/>
      <c r="M156" s="215" t="str">
        <f>_xludf.IFNA(VLOOKUP($F156,'FY22 Budget Update'!$C:$E,3,FALSE),0)</f>
        <v>#NAME?</v>
      </c>
      <c r="N156" s="216" t="str">
        <f>IFERROR($E156/M156,"")</f>
        <v/>
      </c>
      <c r="O156" s="197"/>
      <c r="P156" s="106">
        <f>IFERROR(__xludf.DUMMYFUNCTION("IFERROR(SUMPRODUCT(FILTER('FY22 Budget Update'!$F$2:$AC$72,'FY22 Budget Update'!$C$2:$C$72=$F156),'FY22 Budget Update'!$F$1:$AC$1&lt;=$K$4),"""")"),0.0)</f>
        <v>0</v>
      </c>
      <c r="Q156" s="102" t="str">
        <f t="shared" ref="Q156:Q159" si="115">IFERROR($E156/P156,"")</f>
        <v/>
      </c>
      <c r="R156" s="197"/>
    </row>
    <row r="157">
      <c r="A157" s="275" t="s">
        <v>407</v>
      </c>
      <c r="B157" s="222">
        <v>4755.43</v>
      </c>
      <c r="C157" s="213"/>
      <c r="D157" s="213"/>
      <c r="E157" s="212">
        <f t="shared" si="105"/>
        <v>4755.43</v>
      </c>
      <c r="F157" s="214" t="str">
        <f t="shared" si="113"/>
        <v>2321-6391</v>
      </c>
      <c r="G157" s="106"/>
      <c r="H157" s="102" t="str">
        <f t="shared" si="104"/>
        <v/>
      </c>
      <c r="I157" s="197"/>
      <c r="J157" s="215" t="str">
        <f>IFERROR(__xludf.DUMMYFUNCTION("IFERROR(SUMPRODUCT(FILTER('FY22 Budget'!$F$2:$AC$71,'FY22 Budget'!$C$2:$C$71=$F157),'FY22 Budget'!$F$1:$AC$1&lt;=$K$4),"""")"),"")</f>
        <v/>
      </c>
      <c r="K157" s="216" t="str">
        <f t="shared" si="114"/>
        <v/>
      </c>
      <c r="L157" s="204"/>
      <c r="M157" s="215" t="str">
        <f>_xludf.IFNA(VLOOKUP($F157,'FY22 Budget Update'!$C:$E,3,FALSE),0)</f>
        <v>#NAME?</v>
      </c>
      <c r="N157" s="216" t="str">
        <f>IFERROR(K157/M157,"")</f>
        <v/>
      </c>
      <c r="O157" s="197"/>
      <c r="P157" s="106" t="str">
        <f>IFERROR(__xludf.DUMMYFUNCTION("IFERROR(SUMPRODUCT(FILTER('FY22 Budget Update'!$F$2:$AC$72,'FY22 Budget Update'!$C$2:$C$72=$F157),'FY22 Budget Update'!$F$1:$AC$1&lt;=$K$4),"""")"),"")</f>
        <v/>
      </c>
      <c r="Q157" s="102" t="str">
        <f t="shared" si="115"/>
        <v/>
      </c>
      <c r="R157" s="197"/>
    </row>
    <row r="158">
      <c r="A158" s="275" t="s">
        <v>408</v>
      </c>
      <c r="B158" s="222">
        <v>13937.03</v>
      </c>
      <c r="C158" s="213"/>
      <c r="D158" s="213"/>
      <c r="E158" s="212">
        <f t="shared" si="105"/>
        <v>13937.03</v>
      </c>
      <c r="F158" s="214" t="str">
        <f t="shared" si="113"/>
        <v>2321-6411</v>
      </c>
      <c r="G158" s="106"/>
      <c r="H158" s="102" t="str">
        <f t="shared" si="104"/>
        <v/>
      </c>
      <c r="I158" s="197"/>
      <c r="J158" s="215">
        <f>IFERROR(__xludf.DUMMYFUNCTION("IFERROR(SUMPRODUCT(FILTER('FY22 Budget'!$F$2:$AC$71,'FY22 Budget'!$C$2:$C$71=$F158),'FY22 Budget'!$F$1:$AC$1&lt;=$K$4),"""")"),0.0)</f>
        <v>0</v>
      </c>
      <c r="K158" s="216" t="str">
        <f t="shared" si="114"/>
        <v/>
      </c>
      <c r="L158" s="204"/>
      <c r="M158" s="215" t="str">
        <f>_xludf.IFNA(VLOOKUP($F158,'FY22 Budget Update'!$C:$E,3,FALSE),0)</f>
        <v>#NAME?</v>
      </c>
      <c r="N158" s="216" t="str">
        <f>IFERROR($E158/M158,"")</f>
        <v/>
      </c>
      <c r="O158" s="197"/>
      <c r="P158" s="106">
        <f>IFERROR(__xludf.DUMMYFUNCTION("IFERROR(SUMPRODUCT(FILTER('FY22 Budget Update'!$F$2:$AC$72,'FY22 Budget Update'!$C$2:$C$72=$F158),'FY22 Budget Update'!$F$1:$AC$1&lt;=$K$4),"""")"),0.0)</f>
        <v>0</v>
      </c>
      <c r="Q158" s="102" t="str">
        <f t="shared" si="115"/>
        <v/>
      </c>
      <c r="R158" s="197"/>
    </row>
    <row r="159">
      <c r="A159" s="275" t="s">
        <v>409</v>
      </c>
      <c r="B159" s="222">
        <v>10458.76</v>
      </c>
      <c r="C159" s="213"/>
      <c r="D159" s="213"/>
      <c r="E159" s="212">
        <f t="shared" si="105"/>
        <v>10458.76</v>
      </c>
      <c r="F159" s="214" t="str">
        <f t="shared" si="113"/>
        <v>2321-6412</v>
      </c>
      <c r="G159" s="106"/>
      <c r="H159" s="102" t="str">
        <f t="shared" si="104"/>
        <v/>
      </c>
      <c r="I159" s="197"/>
      <c r="J159" s="215" t="str">
        <f>IFERROR(__xludf.DUMMYFUNCTION("IFERROR(SUMPRODUCT(FILTER('FY22 Budget'!$F$2:$AC$71,'FY22 Budget'!$C$2:$C$71=$F159),'FY22 Budget'!$F$1:$AC$1&lt;=$K$4),"""")"),"")</f>
        <v/>
      </c>
      <c r="K159" s="216" t="str">
        <f t="shared" si="114"/>
        <v/>
      </c>
      <c r="L159" s="204"/>
      <c r="M159" s="215" t="str">
        <f>_xludf.IFNA(VLOOKUP($F159,'FY22 Budget Update'!$C:$E,3,FALSE),0)</f>
        <v>#NAME?</v>
      </c>
      <c r="N159" s="216" t="str">
        <f>IFERROR(K159/M159,"")</f>
        <v/>
      </c>
      <c r="O159" s="197"/>
      <c r="P159" s="106" t="str">
        <f>IFERROR(__xludf.DUMMYFUNCTION("IFERROR(SUMPRODUCT(FILTER('FY22 Budget Update'!$F$2:$AC$72,'FY22 Budget Update'!$C$2:$C$72=$F159),'FY22 Budget Update'!$F$1:$AC$1&lt;=$K$4),"""")"),"")</f>
        <v/>
      </c>
      <c r="Q159" s="102" t="str">
        <f t="shared" si="115"/>
        <v/>
      </c>
      <c r="R159" s="197"/>
    </row>
    <row r="160">
      <c r="A160" s="275" t="s">
        <v>445</v>
      </c>
      <c r="B160" s="222">
        <v>2205.93</v>
      </c>
      <c r="C160" s="213"/>
      <c r="D160" s="213"/>
      <c r="E160" s="212">
        <f t="shared" si="105"/>
        <v>2205.93</v>
      </c>
      <c r="F160" s="214"/>
      <c r="G160" s="106"/>
      <c r="H160" s="102" t="str">
        <f t="shared" si="104"/>
        <v/>
      </c>
      <c r="I160" s="197"/>
      <c r="J160" s="215"/>
      <c r="K160" s="216"/>
      <c r="L160" s="204"/>
      <c r="M160" s="215"/>
      <c r="N160" s="216"/>
      <c r="O160" s="197"/>
      <c r="P160" s="106"/>
      <c r="Q160" s="102"/>
      <c r="R160" s="197"/>
    </row>
    <row r="161">
      <c r="A161" s="275" t="s">
        <v>411</v>
      </c>
      <c r="B161" s="222">
        <v>360.83</v>
      </c>
      <c r="C161" s="213"/>
      <c r="D161" s="213"/>
      <c r="E161" s="212">
        <f t="shared" si="105"/>
        <v>360.83</v>
      </c>
      <c r="F161" s="214"/>
      <c r="G161" s="106"/>
      <c r="H161" s="102" t="str">
        <f t="shared" si="104"/>
        <v/>
      </c>
      <c r="I161" s="197"/>
      <c r="J161" s="215"/>
      <c r="K161" s="216"/>
      <c r="L161" s="204"/>
      <c r="M161" s="215"/>
      <c r="N161" s="216"/>
      <c r="O161" s="197"/>
      <c r="P161" s="106"/>
      <c r="Q161" s="102"/>
      <c r="R161" s="197"/>
    </row>
    <row r="162">
      <c r="A162" s="275" t="s">
        <v>412</v>
      </c>
      <c r="B162" s="222">
        <v>1600.0</v>
      </c>
      <c r="C162" s="213"/>
      <c r="D162" s="213"/>
      <c r="E162" s="212">
        <f t="shared" si="105"/>
        <v>1600</v>
      </c>
      <c r="F162" s="214"/>
      <c r="G162" s="106"/>
      <c r="H162" s="102"/>
      <c r="I162" s="197"/>
      <c r="J162" s="215"/>
      <c r="K162" s="216"/>
      <c r="L162" s="204"/>
      <c r="M162" s="215"/>
      <c r="N162" s="216"/>
      <c r="O162" s="197"/>
      <c r="P162" s="106"/>
      <c r="Q162" s="102"/>
      <c r="R162" s="197"/>
    </row>
    <row r="163">
      <c r="A163" s="275" t="s">
        <v>413</v>
      </c>
      <c r="B163" s="222">
        <v>10530.71</v>
      </c>
      <c r="C163" s="213"/>
      <c r="D163" s="213"/>
      <c r="E163" s="212">
        <f t="shared" si="105"/>
        <v>10530.71</v>
      </c>
      <c r="F163" s="214"/>
      <c r="G163" s="106"/>
      <c r="H163" s="102"/>
      <c r="I163" s="197"/>
      <c r="J163" s="215"/>
      <c r="K163" s="216"/>
      <c r="L163" s="204"/>
      <c r="M163" s="215"/>
      <c r="N163" s="216"/>
      <c r="O163" s="197"/>
      <c r="P163" s="106"/>
      <c r="Q163" s="102"/>
      <c r="R163" s="197"/>
    </row>
    <row r="164">
      <c r="A164" s="275" t="s">
        <v>414</v>
      </c>
      <c r="B164" s="222">
        <v>885.62</v>
      </c>
      <c r="C164" s="213"/>
      <c r="D164" s="213"/>
      <c r="E164" s="212">
        <f t="shared" si="105"/>
        <v>885.62</v>
      </c>
      <c r="F164" s="214"/>
      <c r="G164" s="106"/>
      <c r="H164" s="102"/>
      <c r="I164" s="197"/>
      <c r="J164" s="215"/>
      <c r="K164" s="216"/>
      <c r="L164" s="204"/>
      <c r="M164" s="215"/>
      <c r="N164" s="216"/>
      <c r="O164" s="197"/>
      <c r="P164" s="106"/>
      <c r="Q164" s="102"/>
      <c r="R164" s="197"/>
    </row>
    <row r="165">
      <c r="A165" s="275" t="s">
        <v>415</v>
      </c>
      <c r="B165" s="222">
        <v>1169.91</v>
      </c>
      <c r="C165" s="213"/>
      <c r="D165" s="213"/>
      <c r="E165" s="212">
        <f t="shared" si="105"/>
        <v>1169.91</v>
      </c>
      <c r="F165" s="214"/>
      <c r="G165" s="106"/>
      <c r="H165" s="102"/>
      <c r="I165" s="197"/>
      <c r="J165" s="215"/>
      <c r="K165" s="216"/>
      <c r="L165" s="204"/>
      <c r="M165" s="215"/>
      <c r="N165" s="216"/>
      <c r="O165" s="197"/>
      <c r="P165" s="106"/>
      <c r="Q165" s="102"/>
      <c r="R165" s="197"/>
    </row>
    <row r="166">
      <c r="A166" s="275" t="s">
        <v>416</v>
      </c>
      <c r="B166" s="222">
        <v>-12005.69</v>
      </c>
      <c r="C166" s="213"/>
      <c r="D166" s="213"/>
      <c r="E166" s="212">
        <f t="shared" si="105"/>
        <v>-12005.69</v>
      </c>
      <c r="F166" s="214" t="str">
        <f t="shared" ref="F166:F168" si="116">LEFT(TRIM(A166),9)</f>
        <v>2331-6316</v>
      </c>
      <c r="G166" s="106"/>
      <c r="H166" s="102" t="str">
        <f t="shared" ref="H166:H168" si="117">IFERROR(E166/G166,"")</f>
        <v/>
      </c>
      <c r="I166" s="197"/>
      <c r="J166" s="215">
        <f>IFERROR(__xludf.DUMMYFUNCTION("IFERROR(SUMPRODUCT(FILTER('FY22 Budget'!$F$2:$AC$71,'FY22 Budget'!$C$2:$C$71=$F166),'FY22 Budget'!$F$1:$AC$1&lt;=$K$4),"""")"),0.0)</f>
        <v>0</v>
      </c>
      <c r="K166" s="216" t="str">
        <f t="shared" ref="K166:K168" si="118">IFERROR($E166/J166,"")</f>
        <v/>
      </c>
      <c r="L166" s="204"/>
      <c r="M166" s="215" t="str">
        <f>_xludf.IFNA(VLOOKUP($F166,'FY22 Budget Update'!$C:$E,3,FALSE),0)</f>
        <v>#NAME?</v>
      </c>
      <c r="N166" s="216" t="str">
        <f>IFERROR($E166/M166,"")</f>
        <v/>
      </c>
      <c r="O166" s="197"/>
      <c r="P166" s="106">
        <f>IFERROR(__xludf.DUMMYFUNCTION("IFERROR(SUMPRODUCT(FILTER('FY22 Budget Update'!$F$2:$AC$72,'FY22 Budget Update'!$C$2:$C$72=$F166),'FY22 Budget Update'!$F$1:$AC$1&lt;=$K$4),"""")"),0.0)</f>
        <v>0</v>
      </c>
      <c r="Q166" s="102" t="str">
        <f t="shared" ref="Q166:Q168" si="119">IFERROR($E166/P166,"")</f>
        <v/>
      </c>
      <c r="R166" s="197"/>
    </row>
    <row r="167">
      <c r="A167" s="275" t="s">
        <v>417</v>
      </c>
      <c r="B167" s="222"/>
      <c r="C167" s="213"/>
      <c r="D167" s="213"/>
      <c r="E167" s="212">
        <f t="shared" si="105"/>
        <v>0</v>
      </c>
      <c r="F167" s="214" t="str">
        <f t="shared" si="116"/>
        <v>2331-6319</v>
      </c>
      <c r="G167" s="106"/>
      <c r="H167" s="102" t="str">
        <f t="shared" si="117"/>
        <v/>
      </c>
      <c r="I167" s="197"/>
      <c r="J167" s="215" t="str">
        <f>IFERROR(__xludf.DUMMYFUNCTION("IFERROR(SUMPRODUCT(FILTER('FY22 Budget'!$F$2:$AC$71,'FY22 Budget'!$C$2:$C$71=$F167),'FY22 Budget'!$F$1:$AC$1&lt;=$K$4),"""")"),"")</f>
        <v/>
      </c>
      <c r="K167" s="216" t="str">
        <f t="shared" si="118"/>
        <v/>
      </c>
      <c r="L167" s="204"/>
      <c r="M167" s="215" t="str">
        <f>_xludf.IFNA(VLOOKUP($F167,'FY22 Budget Update'!$C:$E,3,FALSE),0)</f>
        <v>#NAME?</v>
      </c>
      <c r="N167" s="216" t="str">
        <f>IFERROR(K167/M167,"")</f>
        <v/>
      </c>
      <c r="O167" s="197"/>
      <c r="P167" s="106" t="str">
        <f>IFERROR(__xludf.DUMMYFUNCTION("IFERROR(SUMPRODUCT(FILTER('FY22 Budget Update'!$F$2:$AC$72,'FY22 Budget Update'!$C$2:$C$72=$F167),'FY22 Budget Update'!$F$1:$AC$1&lt;=$K$4),"""")"),"")</f>
        <v/>
      </c>
      <c r="Q167" s="102" t="str">
        <f t="shared" si="119"/>
        <v/>
      </c>
      <c r="R167" s="197"/>
    </row>
    <row r="168">
      <c r="A168" s="275" t="s">
        <v>418</v>
      </c>
      <c r="B168" s="222">
        <v>2002.84</v>
      </c>
      <c r="C168" s="213"/>
      <c r="D168" s="213"/>
      <c r="E168" s="212">
        <f t="shared" si="105"/>
        <v>2002.84</v>
      </c>
      <c r="F168" s="214" t="str">
        <f t="shared" si="116"/>
        <v>2331-6338</v>
      </c>
      <c r="G168" s="106"/>
      <c r="H168" s="102" t="str">
        <f t="shared" si="117"/>
        <v/>
      </c>
      <c r="I168" s="197"/>
      <c r="J168" s="215">
        <f>IFERROR(__xludf.DUMMYFUNCTION("IFERROR(SUMPRODUCT(FILTER('FY22 Budget'!$F$2:$AC$71,'FY22 Budget'!$C$2:$C$71=$F168),'FY22 Budget'!$F$1:$AC$1&lt;=$K$4),"""")"),0.0)</f>
        <v>0</v>
      </c>
      <c r="K168" s="216" t="str">
        <f t="shared" si="118"/>
        <v/>
      </c>
      <c r="L168" s="204"/>
      <c r="M168" s="215" t="str">
        <f>_xludf.IFNA(VLOOKUP($F168,'FY22 Budget Update'!$C:$E,3,FALSE),0)</f>
        <v>#NAME?</v>
      </c>
      <c r="N168" s="216" t="str">
        <f>IFERROR($E168/M168,"")</f>
        <v/>
      </c>
      <c r="O168" s="197"/>
      <c r="P168" s="106">
        <f>IFERROR(__xludf.DUMMYFUNCTION("IFERROR(SUMPRODUCT(FILTER('FY22 Budget Update'!$F$2:$AC$72,'FY22 Budget Update'!$C$2:$C$72=$F168),'FY22 Budget Update'!$F$1:$AC$1&lt;=$K$4),"""")"),0.0)</f>
        <v>0</v>
      </c>
      <c r="Q168" s="102" t="str">
        <f t="shared" si="119"/>
        <v/>
      </c>
      <c r="R168" s="197"/>
    </row>
    <row r="169">
      <c r="A169" s="275" t="s">
        <v>419</v>
      </c>
      <c r="B169" s="222">
        <v>6415.5</v>
      </c>
      <c r="C169" s="213"/>
      <c r="D169" s="213"/>
      <c r="E169" s="212">
        <f t="shared" si="105"/>
        <v>6415.5</v>
      </c>
      <c r="F169" s="214"/>
      <c r="G169" s="106"/>
      <c r="H169" s="102"/>
      <c r="I169" s="197"/>
      <c r="J169" s="215"/>
      <c r="K169" s="216"/>
      <c r="L169" s="204"/>
      <c r="M169" s="215"/>
      <c r="N169" s="216"/>
      <c r="O169" s="197"/>
      <c r="P169" s="106"/>
      <c r="Q169" s="102"/>
      <c r="R169" s="197"/>
    </row>
    <row r="170">
      <c r="A170" s="275" t="s">
        <v>420</v>
      </c>
      <c r="B170" s="222">
        <v>0.0</v>
      </c>
      <c r="C170" s="213"/>
      <c r="D170" s="213"/>
      <c r="E170" s="212">
        <f t="shared" si="105"/>
        <v>0</v>
      </c>
      <c r="F170" s="214" t="str">
        <f t="shared" ref="F170:F171" si="120">LEFT(TRIM(A170),9)</f>
        <v>2331-6412</v>
      </c>
      <c r="G170" s="106"/>
      <c r="H170" s="102" t="str">
        <f t="shared" ref="H170:H173" si="121">IFERROR(E170/G170,"")</f>
        <v/>
      </c>
      <c r="I170" s="197"/>
      <c r="J170" s="215">
        <f>IFERROR(__xludf.DUMMYFUNCTION("IFERROR(SUMPRODUCT(FILTER('FY22 Budget'!$F$2:$AC$71,'FY22 Budget'!$C$2:$C$71=$F170),'FY22 Budget'!$F$1:$AC$1&lt;=$K$4),"""")"),0.0)</f>
        <v>0</v>
      </c>
      <c r="K170" s="216" t="str">
        <f t="shared" ref="K170:K171" si="122">IFERROR($E170/J170,"")</f>
        <v/>
      </c>
      <c r="L170" s="204"/>
      <c r="M170" s="215" t="str">
        <f>_xludf.IFNA(VLOOKUP($F170,'FY22 Budget Update'!$C:$E,3,FALSE),0)</f>
        <v>#NAME?</v>
      </c>
      <c r="N170" s="216" t="str">
        <f t="shared" ref="N170:N171" si="123">IFERROR($E170/M170,"")</f>
        <v/>
      </c>
      <c r="O170" s="197"/>
      <c r="P170" s="106">
        <f>IFERROR(__xludf.DUMMYFUNCTION("IFERROR(SUMPRODUCT(FILTER('FY22 Budget Update'!$F$2:$AC$72,'FY22 Budget Update'!$C$2:$C$72=$F170),'FY22 Budget Update'!$F$1:$AC$1&lt;=$K$4),"""")"),0.0)</f>
        <v>0</v>
      </c>
      <c r="Q170" s="102" t="str">
        <f t="shared" ref="Q170:Q171" si="124">IFERROR($E170/P170,"")</f>
        <v/>
      </c>
      <c r="R170" s="197"/>
    </row>
    <row r="171">
      <c r="A171" s="275" t="s">
        <v>421</v>
      </c>
      <c r="B171" s="222">
        <v>7544.15</v>
      </c>
      <c r="C171" s="213"/>
      <c r="D171" s="213"/>
      <c r="E171" s="212">
        <f t="shared" si="105"/>
        <v>7544.15</v>
      </c>
      <c r="F171" s="214" t="str">
        <f t="shared" si="120"/>
        <v>2511-6319</v>
      </c>
      <c r="G171" s="106"/>
      <c r="H171" s="102" t="str">
        <f t="shared" si="121"/>
        <v/>
      </c>
      <c r="I171" s="197"/>
      <c r="J171" s="215">
        <f>IFERROR(__xludf.DUMMYFUNCTION("IFERROR(SUMPRODUCT(FILTER('FY22 Budget'!$F$2:$AC$71,'FY22 Budget'!$C$2:$C$71=$F171),'FY22 Budget'!$F$1:$AC$1&lt;=$K$4),"""")"),0.0)</f>
        <v>0</v>
      </c>
      <c r="K171" s="216" t="str">
        <f t="shared" si="122"/>
        <v/>
      </c>
      <c r="L171" s="204"/>
      <c r="M171" s="215" t="str">
        <f>_xludf.IFNA(VLOOKUP($F171,'FY22 Budget Update'!$C:$E,3,FALSE),0)</f>
        <v>#NAME?</v>
      </c>
      <c r="N171" s="216" t="str">
        <f t="shared" si="123"/>
        <v/>
      </c>
      <c r="O171" s="197"/>
      <c r="P171" s="106">
        <f>IFERROR(__xludf.DUMMYFUNCTION("IFERROR(SUMPRODUCT(FILTER('FY22 Budget Update'!$F$2:$AC$72,'FY22 Budget Update'!$C$2:$C$72=$F171),'FY22 Budget Update'!$F$1:$AC$1&lt;=$K$4),"""")"),0.0)</f>
        <v>0</v>
      </c>
      <c r="Q171" s="102" t="str">
        <f t="shared" si="124"/>
        <v/>
      </c>
      <c r="R171" s="197"/>
    </row>
    <row r="172">
      <c r="A172" s="275" t="s">
        <v>422</v>
      </c>
      <c r="B172" s="212"/>
      <c r="C172" s="213"/>
      <c r="D172" s="213"/>
      <c r="E172" s="212">
        <f t="shared" si="105"/>
        <v>0</v>
      </c>
      <c r="F172" s="214"/>
      <c r="G172" s="106"/>
      <c r="H172" s="102" t="str">
        <f t="shared" si="121"/>
        <v/>
      </c>
      <c r="I172" s="197"/>
      <c r="J172" s="215"/>
      <c r="K172" s="216"/>
      <c r="L172" s="204"/>
      <c r="M172" s="215"/>
      <c r="N172" s="216"/>
      <c r="O172" s="197"/>
      <c r="P172" s="106"/>
      <c r="Q172" s="102"/>
      <c r="R172" s="197"/>
    </row>
    <row r="173">
      <c r="A173" s="275" t="s">
        <v>423</v>
      </c>
      <c r="B173" s="212"/>
      <c r="C173" s="213"/>
      <c r="D173" s="213"/>
      <c r="E173" s="212">
        <f t="shared" si="105"/>
        <v>0</v>
      </c>
      <c r="F173" s="214"/>
      <c r="G173" s="106"/>
      <c r="H173" s="102" t="str">
        <f t="shared" si="121"/>
        <v/>
      </c>
      <c r="I173" s="197"/>
      <c r="J173" s="215"/>
      <c r="K173" s="216"/>
      <c r="L173" s="204"/>
      <c r="M173" s="215"/>
      <c r="N173" s="216"/>
      <c r="O173" s="197"/>
      <c r="P173" s="106"/>
      <c r="Q173" s="102"/>
      <c r="R173" s="197"/>
    </row>
    <row r="174">
      <c r="A174" s="275" t="s">
        <v>424</v>
      </c>
      <c r="B174" s="212">
        <v>140.0</v>
      </c>
      <c r="C174" s="213"/>
      <c r="D174" s="213"/>
      <c r="E174" s="212">
        <f t="shared" si="105"/>
        <v>140</v>
      </c>
      <c r="F174" s="214"/>
      <c r="G174" s="106"/>
      <c r="H174" s="102"/>
      <c r="I174" s="197"/>
      <c r="J174" s="215"/>
      <c r="K174" s="216"/>
      <c r="L174" s="204"/>
      <c r="M174" s="215"/>
      <c r="N174" s="216"/>
      <c r="O174" s="197"/>
      <c r="P174" s="106"/>
      <c r="Q174" s="102"/>
      <c r="R174" s="197"/>
    </row>
    <row r="175">
      <c r="A175" s="275" t="s">
        <v>425</v>
      </c>
      <c r="B175" s="212">
        <v>753.62</v>
      </c>
      <c r="C175" s="213"/>
      <c r="D175" s="213"/>
      <c r="E175" s="212">
        <f t="shared" si="105"/>
        <v>753.62</v>
      </c>
      <c r="F175" s="214"/>
      <c r="G175" s="106"/>
      <c r="H175" s="102"/>
      <c r="I175" s="197"/>
      <c r="J175" s="215"/>
      <c r="K175" s="216"/>
      <c r="L175" s="204"/>
      <c r="M175" s="215"/>
      <c r="N175" s="216"/>
      <c r="O175" s="197"/>
      <c r="P175" s="106"/>
      <c r="Q175" s="102"/>
      <c r="R175" s="197"/>
    </row>
    <row r="176">
      <c r="A176" s="275" t="s">
        <v>426</v>
      </c>
      <c r="B176" s="212">
        <v>294.0</v>
      </c>
      <c r="C176" s="213"/>
      <c r="D176" s="213"/>
      <c r="E176" s="212">
        <f t="shared" si="105"/>
        <v>294</v>
      </c>
      <c r="F176" s="214"/>
      <c r="G176" s="106"/>
      <c r="H176" s="102"/>
      <c r="I176" s="197"/>
      <c r="J176" s="215"/>
      <c r="K176" s="216"/>
      <c r="L176" s="204"/>
      <c r="M176" s="215"/>
      <c r="N176" s="216"/>
      <c r="O176" s="197"/>
      <c r="P176" s="106"/>
      <c r="Q176" s="102"/>
      <c r="R176" s="197"/>
    </row>
    <row r="177">
      <c r="A177" s="276" t="s">
        <v>427</v>
      </c>
      <c r="B177" s="239">
        <v>6192.12</v>
      </c>
      <c r="C177" s="217"/>
      <c r="D177" s="217"/>
      <c r="E177" s="239">
        <f t="shared" si="105"/>
        <v>6192.12</v>
      </c>
      <c r="F177" s="197"/>
      <c r="G177" s="237"/>
      <c r="H177" s="198"/>
      <c r="I177" s="197"/>
      <c r="J177" s="258"/>
      <c r="K177" s="259"/>
      <c r="L177" s="205"/>
      <c r="M177" s="258"/>
      <c r="N177" s="259"/>
      <c r="O177" s="197"/>
      <c r="P177" s="237"/>
      <c r="Q177" s="198"/>
      <c r="R177" s="197"/>
    </row>
    <row r="178">
      <c r="A178" s="275" t="s">
        <v>428</v>
      </c>
      <c r="B178" s="212">
        <v>22.37</v>
      </c>
      <c r="C178" s="213"/>
      <c r="D178" s="213"/>
      <c r="E178" s="212">
        <f t="shared" si="105"/>
        <v>22.37</v>
      </c>
      <c r="F178" s="214"/>
      <c r="G178" s="106"/>
      <c r="H178" s="102"/>
      <c r="I178" s="197"/>
      <c r="J178" s="215"/>
      <c r="K178" s="216"/>
      <c r="L178" s="204"/>
      <c r="M178" s="215"/>
      <c r="N178" s="216"/>
      <c r="O178" s="197"/>
      <c r="P178" s="106"/>
      <c r="Q178" s="102"/>
      <c r="R178" s="197"/>
    </row>
    <row r="179">
      <c r="A179" s="275" t="s">
        <v>429</v>
      </c>
      <c r="B179" s="277">
        <v>10.0</v>
      </c>
      <c r="C179" s="213"/>
      <c r="D179" s="213"/>
      <c r="E179" s="212">
        <f t="shared" si="105"/>
        <v>10</v>
      </c>
      <c r="F179" s="214"/>
      <c r="G179" s="106"/>
      <c r="H179" s="102"/>
      <c r="I179" s="197"/>
      <c r="J179" s="215"/>
      <c r="K179" s="216"/>
      <c r="L179" s="204"/>
      <c r="M179" s="215"/>
      <c r="N179" s="216"/>
      <c r="O179" s="197"/>
      <c r="P179" s="106"/>
      <c r="Q179" s="102"/>
      <c r="R179" s="197"/>
    </row>
    <row r="180">
      <c r="A180" s="275" t="s">
        <v>430</v>
      </c>
      <c r="B180" s="277">
        <v>2506.21</v>
      </c>
      <c r="C180" s="213"/>
      <c r="D180" s="213"/>
      <c r="E180" s="212">
        <f t="shared" si="105"/>
        <v>2506.21</v>
      </c>
      <c r="F180" s="214"/>
      <c r="G180" s="106"/>
      <c r="H180" s="102"/>
      <c r="I180" s="197"/>
      <c r="J180" s="215"/>
      <c r="K180" s="216"/>
      <c r="L180" s="204"/>
      <c r="M180" s="215"/>
      <c r="N180" s="216"/>
      <c r="O180" s="197"/>
      <c r="P180" s="106"/>
      <c r="Q180" s="102"/>
      <c r="R180" s="197"/>
    </row>
    <row r="181">
      <c r="A181" s="275" t="s">
        <v>431</v>
      </c>
      <c r="B181" s="277">
        <v>4656.93</v>
      </c>
      <c r="C181" s="213"/>
      <c r="D181" s="213"/>
      <c r="E181" s="212">
        <f t="shared" si="105"/>
        <v>4656.93</v>
      </c>
      <c r="F181" s="214"/>
      <c r="G181" s="106"/>
      <c r="H181" s="102"/>
      <c r="I181" s="197"/>
      <c r="J181" s="215"/>
      <c r="K181" s="216"/>
      <c r="L181" s="204"/>
      <c r="M181" s="215"/>
      <c r="N181" s="216"/>
      <c r="O181" s="197"/>
      <c r="P181" s="106"/>
      <c r="Q181" s="102"/>
      <c r="R181" s="197"/>
    </row>
    <row r="182">
      <c r="A182" s="275" t="s">
        <v>432</v>
      </c>
      <c r="B182" s="212">
        <v>0.0</v>
      </c>
      <c r="C182" s="213"/>
      <c r="D182" s="213"/>
      <c r="E182" s="212">
        <f t="shared" si="105"/>
        <v>0</v>
      </c>
      <c r="F182" s="214"/>
      <c r="G182" s="106"/>
      <c r="H182" s="102"/>
      <c r="I182" s="197"/>
      <c r="J182" s="215"/>
      <c r="K182" s="216"/>
      <c r="L182" s="204"/>
      <c r="M182" s="215"/>
      <c r="N182" s="216"/>
      <c r="O182" s="197"/>
      <c r="P182" s="106"/>
      <c r="Q182" s="102"/>
      <c r="R182" s="197"/>
    </row>
    <row r="183">
      <c r="A183" s="275" t="s">
        <v>433</v>
      </c>
      <c r="B183" s="212"/>
      <c r="C183" s="213"/>
      <c r="D183" s="213"/>
      <c r="E183" s="212">
        <f t="shared" si="105"/>
        <v>0</v>
      </c>
      <c r="F183" s="214"/>
      <c r="G183" s="106"/>
      <c r="H183" s="102"/>
      <c r="I183" s="197"/>
      <c r="J183" s="215"/>
      <c r="K183" s="216"/>
      <c r="L183" s="204"/>
      <c r="M183" s="215"/>
      <c r="N183" s="216"/>
      <c r="O183" s="197"/>
      <c r="P183" s="106"/>
      <c r="Q183" s="102"/>
      <c r="R183" s="197"/>
    </row>
    <row r="184">
      <c r="A184" s="275" t="s">
        <v>434</v>
      </c>
      <c r="B184" s="212">
        <v>40.08</v>
      </c>
      <c r="C184" s="213"/>
      <c r="D184" s="213"/>
      <c r="E184" s="212">
        <f t="shared" si="105"/>
        <v>40.08</v>
      </c>
      <c r="F184" s="214"/>
      <c r="G184" s="106"/>
      <c r="H184" s="102"/>
      <c r="I184" s="197"/>
      <c r="J184" s="215"/>
      <c r="K184" s="216"/>
      <c r="L184" s="204"/>
      <c r="M184" s="215"/>
      <c r="N184" s="216"/>
      <c r="O184" s="197"/>
      <c r="P184" s="106"/>
      <c r="Q184" s="102"/>
      <c r="R184" s="197"/>
    </row>
    <row r="185">
      <c r="A185" s="275" t="s">
        <v>435</v>
      </c>
      <c r="B185" s="218">
        <f t="shared" ref="B185:E185" si="125">SUM(B148:B184)</f>
        <v>157615.29</v>
      </c>
      <c r="C185" s="271">
        <f t="shared" si="125"/>
        <v>0</v>
      </c>
      <c r="D185" s="271">
        <f t="shared" si="125"/>
        <v>0</v>
      </c>
      <c r="E185" s="271">
        <f t="shared" si="125"/>
        <v>157615.29</v>
      </c>
      <c r="F185" s="214" t="str">
        <f t="shared" ref="F185:F186" si="126">LEFT(TRIM(A185),9)</f>
        <v>Total 000</v>
      </c>
      <c r="G185" s="108">
        <v>632341.0</v>
      </c>
      <c r="H185" s="227">
        <f>IFERROR($E185/G185,"")</f>
        <v>0.2492567934</v>
      </c>
      <c r="I185" s="197"/>
      <c r="J185" s="220">
        <f>SUM(J148:J184)</f>
        <v>0</v>
      </c>
      <c r="K185" s="221" t="str">
        <f>IFERROR($E185/J185,"")</f>
        <v/>
      </c>
      <c r="L185" s="204"/>
      <c r="M185" s="220" t="str">
        <f>SUM(M148:M184)</f>
        <v>#NAME?</v>
      </c>
      <c r="N185" s="221" t="str">
        <f>IFERROR($E185/M185,"")</f>
        <v/>
      </c>
      <c r="O185" s="197"/>
      <c r="P185" s="108">
        <f>SUM(P148:P184)</f>
        <v>0</v>
      </c>
      <c r="Q185" s="112" t="str">
        <f>IFERROR($E185/P185,"")</f>
        <v/>
      </c>
      <c r="R185" s="197"/>
    </row>
    <row r="186">
      <c r="A186" s="278" t="s">
        <v>436</v>
      </c>
      <c r="B186" s="213"/>
      <c r="C186" s="213"/>
      <c r="D186" s="213"/>
      <c r="E186" s="212"/>
      <c r="F186" s="214" t="str">
        <f t="shared" si="126"/>
        <v>0000-6XXX</v>
      </c>
      <c r="G186" s="106"/>
      <c r="H186" s="102" t="str">
        <f>IFERROR(E186/G186,"")</f>
        <v/>
      </c>
      <c r="I186" s="197"/>
      <c r="J186" s="106"/>
      <c r="K186" s="102"/>
      <c r="L186" s="197"/>
      <c r="M186" s="106"/>
      <c r="N186" s="102" t="str">
        <f>IFERROR(K186/M186,"")</f>
        <v/>
      </c>
      <c r="O186" s="197"/>
      <c r="P186" s="106"/>
      <c r="Q186" s="102"/>
      <c r="R186" s="197"/>
    </row>
    <row r="187">
      <c r="A187" s="278" t="s">
        <v>437</v>
      </c>
      <c r="B187" s="212">
        <v>750.0</v>
      </c>
      <c r="C187" s="213"/>
      <c r="D187" s="213"/>
      <c r="E187" s="212">
        <f t="shared" ref="E187:E190" si="127">SUM(B187:D187)</f>
        <v>750</v>
      </c>
      <c r="F187" s="214"/>
      <c r="G187" s="106"/>
      <c r="H187" s="102"/>
      <c r="I187" s="197"/>
      <c r="J187" s="106"/>
      <c r="K187" s="102"/>
      <c r="L187" s="197"/>
      <c r="M187" s="106"/>
      <c r="N187" s="102"/>
      <c r="O187" s="197"/>
      <c r="P187" s="106"/>
      <c r="Q187" s="102"/>
      <c r="R187" s="197"/>
    </row>
    <row r="188">
      <c r="A188" s="278" t="s">
        <v>438</v>
      </c>
      <c r="B188" s="212">
        <v>-548.5</v>
      </c>
      <c r="C188" s="213"/>
      <c r="D188" s="213"/>
      <c r="E188" s="212">
        <f t="shared" si="127"/>
        <v>-548.5</v>
      </c>
      <c r="F188" s="214" t="str">
        <f t="shared" ref="F188:F194" si="128">LEFT(TRIM(A188),9)</f>
        <v>2551-6342</v>
      </c>
      <c r="G188" s="106"/>
      <c r="H188" s="102" t="str">
        <f t="shared" ref="H188:H190" si="129">IFERROR(E188/G188,"")</f>
        <v/>
      </c>
      <c r="I188" s="197"/>
      <c r="J188" s="106">
        <f>IFERROR(__xludf.DUMMYFUNCTION("IFERROR(SUMPRODUCT(FILTER('FY22 Budget'!$F$2:$AC$71,'FY22 Budget'!$C$2:$C$71=$F188),'FY22 Budget'!$F$1:$AC$1&lt;=$K$4),"""")"),0.0)</f>
        <v>0</v>
      </c>
      <c r="K188" s="102" t="str">
        <f t="shared" ref="K188:K191" si="130">IFERROR($E188/J188,"")</f>
        <v/>
      </c>
      <c r="L188" s="197"/>
      <c r="M188" s="106" t="str">
        <f>_xludf.IFNA(VLOOKUP($F188,'FY22 Budget Update'!$C:$E,3,FALSE),0)</f>
        <v>#NAME?</v>
      </c>
      <c r="N188" s="102" t="str">
        <f t="shared" ref="N188:N189" si="131">IFERROR($E188/M188,"")</f>
        <v/>
      </c>
      <c r="O188" s="197"/>
      <c r="P188" s="106">
        <f>IFERROR(__xludf.DUMMYFUNCTION("IFERROR(SUMPRODUCT(FILTER('FY22 Budget Update'!$F$2:$AC$72,'FY22 Budget Update'!$C$2:$C$72=$F188),'FY22 Budget Update'!$F$1:$AC$1&lt;=$K$4),"""")"),0.0)</f>
        <v>0</v>
      </c>
      <c r="Q188" s="102" t="str">
        <f t="shared" ref="Q188:Q191" si="132">IFERROR($E188/P188,"")</f>
        <v/>
      </c>
      <c r="R188" s="197"/>
    </row>
    <row r="189">
      <c r="A189" s="278" t="s">
        <v>439</v>
      </c>
      <c r="B189" s="212">
        <v>8194.0</v>
      </c>
      <c r="C189" s="213"/>
      <c r="D189" s="213"/>
      <c r="E189" s="212">
        <f t="shared" si="127"/>
        <v>8194</v>
      </c>
      <c r="F189" s="214" t="str">
        <f t="shared" si="128"/>
        <v>2553-6341</v>
      </c>
      <c r="G189" s="106"/>
      <c r="H189" s="102" t="str">
        <f t="shared" si="129"/>
        <v/>
      </c>
      <c r="I189" s="197"/>
      <c r="J189" s="106" t="str">
        <f>IFERROR(__xludf.DUMMYFUNCTION("IFERROR(SUMPRODUCT(FILTER('FY22 Budget'!$F$2:$AC$71,'FY22 Budget'!$C$2:$C$71=$F189),'FY22 Budget'!$F$1:$AC$1&lt;=$K$4),"""")"),"")</f>
        <v/>
      </c>
      <c r="K189" s="102" t="str">
        <f t="shared" si="130"/>
        <v/>
      </c>
      <c r="L189" s="197"/>
      <c r="M189" s="106" t="str">
        <f>_xludf.IFNA(VLOOKUP($F189,'FY22 Budget Update'!$C:$E,3,FALSE),0)</f>
        <v>#NAME?</v>
      </c>
      <c r="N189" s="102" t="str">
        <f t="shared" si="131"/>
        <v/>
      </c>
      <c r="O189" s="197"/>
      <c r="P189" s="106" t="str">
        <f>IFERROR(__xludf.DUMMYFUNCTION("IFERROR(SUMPRODUCT(FILTER('FY22 Budget Update'!$F$2:$AC$72,'FY22 Budget Update'!$C$2:$C$72=$F189),'FY22 Budget Update'!$F$1:$AC$1&lt;=$K$4),"""")"),"")</f>
        <v/>
      </c>
      <c r="Q189" s="102" t="str">
        <f t="shared" si="132"/>
        <v/>
      </c>
      <c r="R189" s="197"/>
    </row>
    <row r="190">
      <c r="A190" s="278" t="s">
        <v>440</v>
      </c>
      <c r="B190" s="212"/>
      <c r="C190" s="213"/>
      <c r="D190" s="213"/>
      <c r="E190" s="212">
        <f t="shared" si="127"/>
        <v>0</v>
      </c>
      <c r="F190" s="214" t="str">
        <f t="shared" si="128"/>
        <v>3611-6341</v>
      </c>
      <c r="G190" s="106"/>
      <c r="H190" s="102" t="str">
        <f t="shared" si="129"/>
        <v/>
      </c>
      <c r="I190" s="197"/>
      <c r="J190" s="106" t="str">
        <f>IFERROR(__xludf.DUMMYFUNCTION("IFERROR(SUMPRODUCT(FILTER('FY22 Budget'!$F$2:$AC$71,'FY22 Budget'!$C$2:$C$71=$F190),'FY22 Budget'!$F$1:$AC$1&lt;=$K$4),"""")"),"")</f>
        <v/>
      </c>
      <c r="K190" s="102" t="str">
        <f t="shared" si="130"/>
        <v/>
      </c>
      <c r="L190" s="197"/>
      <c r="M190" s="106" t="str">
        <f>_xludf.IFNA(VLOOKUP($F190,'FY22 Budget Update'!$C:$E,3,FALSE),0)</f>
        <v>#NAME?</v>
      </c>
      <c r="N190" s="102" t="str">
        <f>IFERROR(K190/M190,"")</f>
        <v/>
      </c>
      <c r="O190" s="197"/>
      <c r="P190" s="106" t="str">
        <f>IFERROR(__xludf.DUMMYFUNCTION("IFERROR(SUMPRODUCT(FILTER('FY22 Budget Update'!$F$2:$AC$72,'FY22 Budget Update'!$C$2:$C$72=$F190),'FY22 Budget Update'!$F$1:$AC$1&lt;=$K$4),"""")"),"")</f>
        <v/>
      </c>
      <c r="Q190" s="102" t="str">
        <f t="shared" si="132"/>
        <v/>
      </c>
      <c r="R190" s="197"/>
    </row>
    <row r="191">
      <c r="A191" s="278" t="s">
        <v>441</v>
      </c>
      <c r="B191" s="218">
        <f t="shared" ref="B191:E191" si="133">SUM(B187:B190)</f>
        <v>8395.5</v>
      </c>
      <c r="C191" s="218">
        <f t="shared" si="133"/>
        <v>0</v>
      </c>
      <c r="D191" s="218">
        <f t="shared" si="133"/>
        <v>0</v>
      </c>
      <c r="E191" s="218">
        <f t="shared" si="133"/>
        <v>8395.5</v>
      </c>
      <c r="F191" s="214" t="str">
        <f t="shared" si="128"/>
        <v>Total 000</v>
      </c>
      <c r="G191" s="108">
        <v>41026.0</v>
      </c>
      <c r="H191" s="227">
        <f>IFERROR($E191/G191,"")</f>
        <v>0.2046385219</v>
      </c>
      <c r="I191" s="197"/>
      <c r="J191" s="108">
        <f>SUM(J187:J190)</f>
        <v>0</v>
      </c>
      <c r="K191" s="112" t="str">
        <f t="shared" si="130"/>
        <v/>
      </c>
      <c r="L191" s="197"/>
      <c r="M191" s="220" t="str">
        <f>SUM(M187:M190)</f>
        <v>#NAME?</v>
      </c>
      <c r="N191" s="221" t="str">
        <f>IFERROR($E191/M191,"")</f>
        <v/>
      </c>
      <c r="O191" s="197"/>
      <c r="P191" s="108">
        <f>SUM(P187:P190)</f>
        <v>0</v>
      </c>
      <c r="Q191" s="112" t="str">
        <f t="shared" si="132"/>
        <v/>
      </c>
      <c r="R191" s="197"/>
    </row>
    <row r="192">
      <c r="A192" s="123" t="s">
        <v>442</v>
      </c>
      <c r="B192" s="212"/>
      <c r="C192" s="213"/>
      <c r="D192" s="213"/>
      <c r="E192" s="212">
        <f>((B192)+(C192))+(D192)</f>
        <v>0</v>
      </c>
      <c r="F192" s="214" t="str">
        <f t="shared" si="128"/>
        <v>PayPal Fe</v>
      </c>
      <c r="G192" s="106"/>
      <c r="H192" s="102" t="str">
        <f>IFERROR(E192/G192,"")</f>
        <v/>
      </c>
      <c r="I192" s="197"/>
      <c r="J192" s="106"/>
      <c r="K192" s="102"/>
      <c r="L192" s="197"/>
      <c r="M192" s="215"/>
      <c r="N192" s="216" t="str">
        <f>IFERROR(K192/M192,"")</f>
        <v/>
      </c>
      <c r="O192" s="197"/>
      <c r="P192" s="106"/>
      <c r="Q192" s="102"/>
      <c r="R192" s="223"/>
    </row>
    <row r="193">
      <c r="A193" s="123" t="s">
        <v>246</v>
      </c>
      <c r="B193" s="218">
        <f t="shared" ref="B193:E193" si="134">((((((((((B71)+(B77)))+(B87))+(B90))+(B102))+(B134))+(B146))+(B185))+(B191))+(B192)+B43</f>
        <v>739402.18</v>
      </c>
      <c r="C193" s="218">
        <f t="shared" si="134"/>
        <v>302237.04</v>
      </c>
      <c r="D193" s="218">
        <f t="shared" si="134"/>
        <v>152391.43</v>
      </c>
      <c r="E193" s="218">
        <f t="shared" si="134"/>
        <v>1194030.65</v>
      </c>
      <c r="F193" s="214" t="str">
        <f t="shared" si="128"/>
        <v>Total Exp</v>
      </c>
      <c r="G193" s="108">
        <f>((((((((((G71)+(G77))+(G43))+(G87))+(G90))+(G102))+(G134))+(G146))+(G185))+(G191))+(G192)</f>
        <v>10571219</v>
      </c>
      <c r="H193" s="227">
        <f t="shared" ref="H193:H194" si="136">IFERROR($E193/G193,"")</f>
        <v>0.1129510844</v>
      </c>
      <c r="I193" s="197"/>
      <c r="J193" s="108">
        <f>SUM(J45:J59,J73:J76,J79:J83,J89,J92:J101,J104:J133,J137:J145,J148:J184,J187:J190)</f>
        <v>119454.96</v>
      </c>
      <c r="K193" s="112">
        <f t="shared" ref="K193:K194" si="137">IFERROR($E193/J193,"")</f>
        <v>9.995655685</v>
      </c>
      <c r="L193" s="197"/>
      <c r="M193" s="220" t="str">
        <f>SUM(M45:M59,M73:M76,M79:M83,M89,M92:M101,M104:M133,M137:M145,M148:M184,M187:M190)</f>
        <v>#NAME?</v>
      </c>
      <c r="N193" s="221" t="str">
        <f t="shared" ref="N193:N194" si="138">IFERROR($E193/M193,"")</f>
        <v/>
      </c>
      <c r="O193" s="197"/>
      <c r="P193" s="108">
        <f>SUM(P45:P59,P73:P76,P79:P83,P89,P92:P101,P104:P133,P137:P145,P148:P184,P187:P190)</f>
        <v>0</v>
      </c>
      <c r="Q193" s="112" t="str">
        <f t="shared" ref="Q193:Q194" si="139">IFERROR($E193/P193,"")</f>
        <v/>
      </c>
      <c r="R193" s="217"/>
    </row>
    <row r="194">
      <c r="A194" s="123" t="s">
        <v>248</v>
      </c>
      <c r="B194" s="218">
        <f t="shared" ref="B194:E194" si="135">B40-B193</f>
        <v>-562188.28</v>
      </c>
      <c r="C194" s="218">
        <f t="shared" si="135"/>
        <v>0</v>
      </c>
      <c r="D194" s="218">
        <f t="shared" si="135"/>
        <v>-152391.43</v>
      </c>
      <c r="E194" s="218">
        <f t="shared" si="135"/>
        <v>-714579.71</v>
      </c>
      <c r="F194" s="214" t="str">
        <f t="shared" si="128"/>
        <v>Net Reven</v>
      </c>
      <c r="G194" s="108">
        <f>G40-G193</f>
        <v>249074</v>
      </c>
      <c r="H194" s="112">
        <f t="shared" si="136"/>
        <v>-2.868945414</v>
      </c>
      <c r="I194" s="197"/>
      <c r="J194" s="108">
        <f>J40-J193</f>
        <v>-119454.96</v>
      </c>
      <c r="K194" s="112">
        <f t="shared" si="137"/>
        <v>5.982001166</v>
      </c>
      <c r="L194" s="197"/>
      <c r="M194" s="220" t="str">
        <f>M40-M193</f>
        <v>#NAME?</v>
      </c>
      <c r="N194" s="221" t="str">
        <f t="shared" si="138"/>
        <v/>
      </c>
      <c r="O194" s="197"/>
      <c r="P194" s="108" t="str">
        <f>P40-P193</f>
        <v>#NAME?</v>
      </c>
      <c r="Q194" s="112" t="str">
        <f t="shared" si="139"/>
        <v/>
      </c>
      <c r="R194" s="197"/>
    </row>
    <row r="195">
      <c r="A195" s="123"/>
      <c r="B195" s="213"/>
      <c r="C195" s="213"/>
      <c r="D195" s="213"/>
      <c r="E195" s="213"/>
      <c r="F195" s="214"/>
      <c r="G195" s="124"/>
      <c r="H195" s="124"/>
      <c r="I195" s="197"/>
      <c r="J195" s="100"/>
      <c r="K195" s="124"/>
      <c r="L195" s="197"/>
      <c r="M195" s="100"/>
      <c r="N195" s="124"/>
      <c r="O195" s="197"/>
      <c r="P195" s="100"/>
      <c r="Q195" s="124"/>
      <c r="R195" s="197"/>
    </row>
    <row r="196">
      <c r="A196" s="197"/>
      <c r="B196" s="217"/>
      <c r="C196" s="217"/>
      <c r="D196" s="217"/>
      <c r="E196" s="217"/>
      <c r="F196" s="214"/>
      <c r="G196" s="197"/>
      <c r="H196" s="198"/>
      <c r="I196" s="197"/>
      <c r="J196" s="197"/>
      <c r="K196" s="198"/>
      <c r="L196" s="197"/>
      <c r="M196" s="197"/>
      <c r="N196" s="198"/>
      <c r="O196" s="197"/>
      <c r="P196" s="197"/>
      <c r="Q196" s="198"/>
      <c r="R196" s="197"/>
    </row>
    <row r="197">
      <c r="A197" s="197"/>
      <c r="B197" s="217"/>
      <c r="C197" s="217"/>
      <c r="D197" s="217"/>
      <c r="E197" s="217"/>
      <c r="F197" s="214"/>
      <c r="G197" s="197"/>
      <c r="H197" s="198"/>
      <c r="I197" s="197"/>
      <c r="J197" s="197"/>
      <c r="K197" s="198"/>
      <c r="L197" s="197"/>
      <c r="M197" s="197"/>
      <c r="N197" s="198"/>
      <c r="O197" s="197"/>
      <c r="P197" s="197"/>
      <c r="Q197" s="198"/>
      <c r="R197" s="197"/>
    </row>
    <row r="198">
      <c r="A198" s="197"/>
      <c r="B198" s="217"/>
      <c r="C198" s="217"/>
      <c r="D198" s="217"/>
      <c r="E198" s="217"/>
      <c r="F198" s="214"/>
      <c r="G198" s="197"/>
      <c r="H198" s="198"/>
      <c r="I198" s="197"/>
      <c r="J198" s="197"/>
      <c r="K198" s="198"/>
      <c r="L198" s="197"/>
      <c r="M198" s="197"/>
      <c r="N198" s="198"/>
      <c r="O198" s="197"/>
      <c r="P198" s="197"/>
      <c r="Q198" s="198"/>
      <c r="R198" s="197"/>
    </row>
    <row r="199">
      <c r="A199" s="197"/>
      <c r="B199" s="217"/>
      <c r="C199" s="217"/>
      <c r="D199" s="217"/>
      <c r="E199" s="217"/>
      <c r="F199" s="214"/>
      <c r="G199" s="197"/>
      <c r="H199" s="198"/>
      <c r="I199" s="197"/>
      <c r="J199" s="197"/>
      <c r="K199" s="198"/>
      <c r="L199" s="197"/>
      <c r="M199" s="197"/>
      <c r="N199" s="198"/>
      <c r="O199" s="197"/>
      <c r="P199" s="197"/>
      <c r="Q199" s="198"/>
      <c r="R199" s="197"/>
    </row>
    <row r="200">
      <c r="A200" s="197"/>
      <c r="B200" s="217"/>
      <c r="C200" s="217"/>
      <c r="D200" s="217"/>
      <c r="E200" s="217"/>
      <c r="F200" s="214"/>
      <c r="G200" s="197"/>
      <c r="H200" s="198"/>
      <c r="I200" s="197"/>
      <c r="J200" s="197"/>
      <c r="K200" s="198"/>
      <c r="L200" s="197"/>
      <c r="M200" s="197"/>
      <c r="N200" s="198"/>
      <c r="O200" s="197"/>
      <c r="P200" s="197"/>
      <c r="Q200" s="198"/>
      <c r="R200" s="197"/>
    </row>
    <row r="201">
      <c r="A201" s="197"/>
      <c r="B201" s="217"/>
      <c r="C201" s="217"/>
      <c r="D201" s="217"/>
      <c r="E201" s="217"/>
      <c r="F201" s="214"/>
      <c r="G201" s="197"/>
      <c r="H201" s="198"/>
      <c r="I201" s="197"/>
      <c r="J201" s="197"/>
      <c r="K201" s="198"/>
      <c r="L201" s="197"/>
      <c r="M201" s="197"/>
      <c r="N201" s="198"/>
      <c r="O201" s="197"/>
      <c r="P201" s="197"/>
      <c r="Q201" s="198"/>
      <c r="R201" s="197"/>
    </row>
    <row r="202">
      <c r="A202" s="197"/>
      <c r="B202" s="217"/>
      <c r="C202" s="217"/>
      <c r="D202" s="217"/>
      <c r="E202" s="217"/>
      <c r="F202" s="214"/>
      <c r="G202" s="197"/>
      <c r="H202" s="198"/>
      <c r="I202" s="197"/>
      <c r="J202" s="197"/>
      <c r="K202" s="198"/>
      <c r="L202" s="197"/>
      <c r="M202" s="197"/>
      <c r="N202" s="198"/>
      <c r="O202" s="197"/>
      <c r="P202" s="197"/>
      <c r="Q202" s="198"/>
      <c r="R202" s="197"/>
    </row>
    <row r="203">
      <c r="A203" s="197"/>
      <c r="B203" s="217"/>
      <c r="C203" s="217"/>
      <c r="D203" s="217"/>
      <c r="E203" s="217"/>
      <c r="F203" s="214"/>
      <c r="G203" s="197"/>
      <c r="H203" s="198"/>
      <c r="I203" s="197"/>
      <c r="J203" s="197"/>
      <c r="K203" s="198"/>
      <c r="L203" s="197"/>
      <c r="M203" s="197"/>
      <c r="N203" s="198"/>
      <c r="O203" s="197"/>
      <c r="P203" s="197"/>
      <c r="Q203" s="198"/>
      <c r="R203" s="197"/>
    </row>
    <row r="204">
      <c r="A204" s="197"/>
      <c r="B204" s="217"/>
      <c r="C204" s="217"/>
      <c r="D204" s="217"/>
      <c r="E204" s="217"/>
      <c r="F204" s="214"/>
      <c r="G204" s="197"/>
      <c r="H204" s="198"/>
      <c r="I204" s="197"/>
      <c r="J204" s="197"/>
      <c r="K204" s="198"/>
      <c r="L204" s="197"/>
      <c r="M204" s="197"/>
      <c r="N204" s="198"/>
      <c r="O204" s="197"/>
      <c r="P204" s="197"/>
      <c r="Q204" s="198"/>
      <c r="R204" s="197"/>
    </row>
    <row r="205">
      <c r="A205" s="197"/>
      <c r="B205" s="217"/>
      <c r="C205" s="217"/>
      <c r="D205" s="217"/>
      <c r="E205" s="217"/>
      <c r="F205" s="214"/>
      <c r="G205" s="197"/>
      <c r="H205" s="198"/>
      <c r="I205" s="197"/>
      <c r="J205" s="197"/>
      <c r="K205" s="198"/>
      <c r="L205" s="197"/>
      <c r="M205" s="197"/>
      <c r="N205" s="198"/>
      <c r="O205" s="197"/>
      <c r="P205" s="197"/>
      <c r="Q205" s="198"/>
      <c r="R205" s="197"/>
    </row>
    <row r="206">
      <c r="A206" s="197"/>
      <c r="B206" s="217"/>
      <c r="C206" s="217"/>
      <c r="D206" s="217"/>
      <c r="E206" s="217"/>
      <c r="F206" s="214"/>
      <c r="G206" s="197"/>
      <c r="H206" s="198"/>
      <c r="I206" s="197"/>
      <c r="J206" s="197"/>
      <c r="K206" s="198"/>
      <c r="L206" s="197"/>
      <c r="M206" s="197"/>
      <c r="N206" s="198"/>
      <c r="O206" s="197"/>
      <c r="P206" s="197"/>
      <c r="Q206" s="198"/>
      <c r="R206" s="197"/>
    </row>
    <row r="207">
      <c r="A207" s="197"/>
      <c r="B207" s="217"/>
      <c r="C207" s="217"/>
      <c r="D207" s="217"/>
      <c r="E207" s="217"/>
      <c r="F207" s="214"/>
      <c r="G207" s="197"/>
      <c r="H207" s="198"/>
      <c r="I207" s="197"/>
      <c r="J207" s="197"/>
      <c r="K207" s="198"/>
      <c r="L207" s="197"/>
      <c r="M207" s="197"/>
      <c r="N207" s="198"/>
      <c r="O207" s="197"/>
      <c r="P207" s="197"/>
      <c r="Q207" s="198"/>
      <c r="R207" s="197"/>
    </row>
    <row r="208">
      <c r="A208" s="197"/>
      <c r="B208" s="217"/>
      <c r="C208" s="217"/>
      <c r="D208" s="217"/>
      <c r="E208" s="217"/>
      <c r="F208" s="214"/>
      <c r="G208" s="197"/>
      <c r="H208" s="198"/>
      <c r="I208" s="197"/>
      <c r="J208" s="197"/>
      <c r="K208" s="198"/>
      <c r="L208" s="197"/>
      <c r="M208" s="197"/>
      <c r="N208" s="198"/>
      <c r="O208" s="197"/>
      <c r="P208" s="197"/>
      <c r="Q208" s="198"/>
      <c r="R208" s="197"/>
    </row>
    <row r="209">
      <c r="A209" s="197"/>
      <c r="B209" s="217"/>
      <c r="C209" s="217"/>
      <c r="D209" s="217"/>
      <c r="E209" s="217"/>
      <c r="F209" s="214"/>
      <c r="G209" s="197"/>
      <c r="H209" s="198"/>
      <c r="I209" s="197"/>
      <c r="J209" s="197"/>
      <c r="K209" s="198"/>
      <c r="L209" s="197"/>
      <c r="M209" s="197"/>
      <c r="N209" s="198"/>
      <c r="O209" s="197"/>
      <c r="P209" s="197"/>
      <c r="Q209" s="198"/>
      <c r="R209" s="197"/>
    </row>
    <row r="210">
      <c r="A210" s="197"/>
      <c r="B210" s="217"/>
      <c r="C210" s="217"/>
      <c r="D210" s="217"/>
      <c r="E210" s="217"/>
      <c r="F210" s="214"/>
      <c r="G210" s="197"/>
      <c r="H210" s="198"/>
      <c r="I210" s="197"/>
      <c r="J210" s="197"/>
      <c r="K210" s="198"/>
      <c r="L210" s="197"/>
      <c r="M210" s="197"/>
      <c r="N210" s="198"/>
      <c r="O210" s="197"/>
      <c r="P210" s="197"/>
      <c r="Q210" s="198"/>
      <c r="R210" s="197"/>
    </row>
    <row r="211">
      <c r="A211" s="197"/>
      <c r="B211" s="217"/>
      <c r="C211" s="217"/>
      <c r="D211" s="217"/>
      <c r="E211" s="217"/>
      <c r="F211" s="214"/>
      <c r="G211" s="197"/>
      <c r="H211" s="198"/>
      <c r="I211" s="197"/>
      <c r="J211" s="197"/>
      <c r="K211" s="198"/>
      <c r="L211" s="197"/>
      <c r="M211" s="197"/>
      <c r="N211" s="198"/>
      <c r="O211" s="197"/>
      <c r="P211" s="197"/>
      <c r="Q211" s="198"/>
      <c r="R211" s="197"/>
    </row>
    <row r="212">
      <c r="A212" s="197"/>
      <c r="B212" s="217"/>
      <c r="C212" s="217"/>
      <c r="D212" s="217"/>
      <c r="E212" s="217"/>
      <c r="F212" s="214"/>
      <c r="G212" s="197"/>
      <c r="H212" s="198"/>
      <c r="I212" s="197"/>
      <c r="J212" s="197"/>
      <c r="K212" s="198"/>
      <c r="L212" s="197"/>
      <c r="M212" s="197"/>
      <c r="N212" s="198"/>
      <c r="O212" s="197"/>
      <c r="P212" s="197"/>
      <c r="Q212" s="198"/>
      <c r="R212" s="197"/>
    </row>
    <row r="213">
      <c r="A213" s="197"/>
      <c r="B213" s="217"/>
      <c r="C213" s="217"/>
      <c r="D213" s="217"/>
      <c r="E213" s="217"/>
      <c r="F213" s="214"/>
      <c r="G213" s="197"/>
      <c r="H213" s="198"/>
      <c r="I213" s="197"/>
      <c r="J213" s="197"/>
      <c r="K213" s="198"/>
      <c r="L213" s="197"/>
      <c r="M213" s="197"/>
      <c r="N213" s="198"/>
      <c r="O213" s="197"/>
      <c r="P213" s="197"/>
      <c r="Q213" s="198"/>
      <c r="R213" s="197"/>
    </row>
    <row r="214">
      <c r="A214" s="197"/>
      <c r="B214" s="279"/>
      <c r="C214" s="279"/>
      <c r="D214" s="279"/>
      <c r="E214" s="279"/>
      <c r="F214" s="214"/>
      <c r="G214" s="197"/>
      <c r="H214" s="198"/>
      <c r="I214" s="197"/>
      <c r="J214" s="197"/>
      <c r="K214" s="198"/>
      <c r="L214" s="197"/>
      <c r="M214" s="197"/>
      <c r="N214" s="198"/>
      <c r="O214" s="197"/>
      <c r="P214" s="197"/>
      <c r="Q214" s="198"/>
      <c r="R214" s="197"/>
    </row>
    <row r="215">
      <c r="A215" s="197"/>
      <c r="B215" s="279"/>
      <c r="C215" s="279"/>
      <c r="D215" s="279"/>
      <c r="E215" s="279"/>
      <c r="F215" s="214"/>
      <c r="G215" s="197"/>
      <c r="H215" s="198"/>
      <c r="I215" s="197"/>
      <c r="J215" s="197"/>
      <c r="K215" s="198"/>
      <c r="L215" s="197"/>
      <c r="M215" s="197"/>
      <c r="N215" s="198"/>
      <c r="O215" s="197"/>
      <c r="P215" s="197"/>
      <c r="Q215" s="198"/>
      <c r="R215" s="197"/>
    </row>
    <row r="216">
      <c r="A216" s="197"/>
      <c r="B216" s="197"/>
      <c r="C216" s="197"/>
      <c r="D216" s="197"/>
      <c r="E216" s="197"/>
      <c r="F216" s="214"/>
      <c r="G216" s="197"/>
      <c r="H216" s="198"/>
      <c r="I216" s="197"/>
      <c r="J216" s="197"/>
      <c r="K216" s="198"/>
      <c r="L216" s="197"/>
      <c r="M216" s="197"/>
      <c r="N216" s="198"/>
      <c r="O216" s="197"/>
      <c r="P216" s="197"/>
      <c r="Q216" s="198"/>
      <c r="R216" s="197"/>
    </row>
    <row r="217">
      <c r="A217" s="197"/>
      <c r="B217" s="197"/>
      <c r="C217" s="197"/>
      <c r="D217" s="197"/>
      <c r="E217" s="197"/>
      <c r="F217" s="214"/>
      <c r="G217" s="197"/>
      <c r="H217" s="198"/>
      <c r="I217" s="197"/>
      <c r="J217" s="197"/>
      <c r="K217" s="198"/>
      <c r="L217" s="197"/>
      <c r="M217" s="197"/>
      <c r="N217" s="198"/>
      <c r="O217" s="197"/>
      <c r="P217" s="197"/>
      <c r="Q217" s="198"/>
      <c r="R217" s="197"/>
    </row>
    <row r="218">
      <c r="A218" s="197"/>
      <c r="B218" s="197"/>
      <c r="C218" s="197"/>
      <c r="D218" s="197"/>
      <c r="E218" s="197"/>
      <c r="F218" s="214"/>
      <c r="G218" s="197"/>
      <c r="H218" s="198"/>
      <c r="I218" s="197"/>
      <c r="J218" s="197"/>
      <c r="K218" s="198"/>
      <c r="L218" s="197"/>
      <c r="M218" s="197"/>
      <c r="N218" s="198"/>
      <c r="O218" s="197"/>
      <c r="P218" s="197"/>
      <c r="Q218" s="198"/>
      <c r="R218" s="197"/>
    </row>
    <row r="219">
      <c r="A219" s="197"/>
      <c r="B219" s="197"/>
      <c r="C219" s="197"/>
      <c r="D219" s="197"/>
      <c r="E219" s="197"/>
      <c r="F219" s="214"/>
      <c r="G219" s="197"/>
      <c r="H219" s="198"/>
      <c r="I219" s="197"/>
      <c r="J219" s="197"/>
      <c r="K219" s="198"/>
      <c r="L219" s="197"/>
      <c r="M219" s="197"/>
      <c r="N219" s="198"/>
      <c r="O219" s="197"/>
      <c r="P219" s="197"/>
      <c r="Q219" s="198"/>
      <c r="R219" s="197"/>
    </row>
    <row r="220">
      <c r="A220" s="197"/>
      <c r="B220" s="197"/>
      <c r="C220" s="197"/>
      <c r="D220" s="197"/>
      <c r="E220" s="197"/>
      <c r="F220" s="214"/>
      <c r="G220" s="197"/>
      <c r="H220" s="198"/>
      <c r="I220" s="197"/>
      <c r="J220" s="197"/>
      <c r="K220" s="198"/>
      <c r="L220" s="197"/>
      <c r="M220" s="197"/>
      <c r="N220" s="198"/>
      <c r="O220" s="197"/>
      <c r="P220" s="197"/>
      <c r="Q220" s="198"/>
      <c r="R220" s="197"/>
    </row>
    <row r="221">
      <c r="A221" s="197"/>
      <c r="B221" s="197"/>
      <c r="C221" s="197"/>
      <c r="D221" s="197"/>
      <c r="E221" s="197"/>
      <c r="F221" s="214"/>
      <c r="G221" s="197"/>
      <c r="H221" s="198"/>
      <c r="I221" s="197"/>
      <c r="J221" s="197"/>
      <c r="K221" s="198"/>
      <c r="L221" s="197"/>
      <c r="M221" s="197"/>
      <c r="N221" s="198"/>
      <c r="O221" s="197"/>
      <c r="P221" s="197"/>
      <c r="Q221" s="198"/>
      <c r="R221" s="197"/>
    </row>
    <row r="222">
      <c r="A222" s="197"/>
      <c r="B222" s="197"/>
      <c r="C222" s="197"/>
      <c r="D222" s="197"/>
      <c r="E222" s="197"/>
      <c r="F222" s="214"/>
      <c r="G222" s="197"/>
      <c r="H222" s="198"/>
      <c r="I222" s="197"/>
      <c r="J222" s="197"/>
      <c r="K222" s="198"/>
      <c r="L222" s="197"/>
      <c r="M222" s="197"/>
      <c r="N222" s="198"/>
      <c r="O222" s="197"/>
      <c r="P222" s="197"/>
      <c r="Q222" s="198"/>
      <c r="R222" s="197"/>
    </row>
    <row r="223">
      <c r="A223" s="197"/>
      <c r="B223" s="197"/>
      <c r="C223" s="197"/>
      <c r="D223" s="197"/>
      <c r="E223" s="197"/>
      <c r="F223" s="214"/>
      <c r="G223" s="197"/>
      <c r="H223" s="198"/>
      <c r="I223" s="197"/>
      <c r="J223" s="197"/>
      <c r="K223" s="198"/>
      <c r="L223" s="197"/>
      <c r="M223" s="197"/>
      <c r="N223" s="198"/>
      <c r="O223" s="197"/>
      <c r="P223" s="197"/>
      <c r="Q223" s="198"/>
      <c r="R223" s="197"/>
    </row>
    <row r="224">
      <c r="A224" s="197"/>
      <c r="B224" s="197"/>
      <c r="C224" s="197"/>
      <c r="D224" s="197"/>
      <c r="E224" s="197"/>
      <c r="F224" s="214"/>
      <c r="G224" s="197"/>
      <c r="H224" s="198"/>
      <c r="I224" s="197"/>
      <c r="J224" s="197"/>
      <c r="K224" s="198"/>
      <c r="L224" s="197"/>
      <c r="M224" s="197"/>
      <c r="N224" s="198"/>
      <c r="O224" s="197"/>
      <c r="P224" s="197"/>
      <c r="Q224" s="198"/>
      <c r="R224" s="197"/>
    </row>
    <row r="225">
      <c r="A225" s="197"/>
      <c r="B225" s="197"/>
      <c r="C225" s="197"/>
      <c r="D225" s="197"/>
      <c r="E225" s="197"/>
      <c r="F225" s="214"/>
      <c r="G225" s="197"/>
      <c r="H225" s="198"/>
      <c r="I225" s="197"/>
      <c r="J225" s="197"/>
      <c r="K225" s="198"/>
      <c r="L225" s="197"/>
      <c r="M225" s="197"/>
      <c r="N225" s="198"/>
      <c r="O225" s="197"/>
      <c r="P225" s="197"/>
      <c r="Q225" s="198"/>
      <c r="R225" s="197"/>
    </row>
    <row r="226">
      <c r="A226" s="197"/>
      <c r="B226" s="197"/>
      <c r="C226" s="197"/>
      <c r="D226" s="197"/>
      <c r="E226" s="197"/>
      <c r="F226" s="214"/>
      <c r="G226" s="197"/>
      <c r="H226" s="198"/>
      <c r="I226" s="197"/>
      <c r="J226" s="197"/>
      <c r="K226" s="198"/>
      <c r="L226" s="197"/>
      <c r="M226" s="197"/>
      <c r="N226" s="198"/>
      <c r="O226" s="197"/>
      <c r="P226" s="197"/>
      <c r="Q226" s="198"/>
      <c r="R226" s="197"/>
    </row>
    <row r="227">
      <c r="A227" s="197"/>
      <c r="B227" s="197"/>
      <c r="C227" s="197"/>
      <c r="D227" s="197"/>
      <c r="E227" s="197"/>
      <c r="F227" s="214"/>
      <c r="G227" s="197"/>
      <c r="H227" s="198"/>
      <c r="I227" s="197"/>
      <c r="J227" s="197"/>
      <c r="K227" s="198"/>
      <c r="L227" s="197"/>
      <c r="M227" s="197"/>
      <c r="N227" s="198"/>
      <c r="O227" s="197"/>
      <c r="P227" s="197"/>
      <c r="Q227" s="198"/>
      <c r="R227" s="197"/>
    </row>
    <row r="228">
      <c r="A228" s="197"/>
      <c r="B228" s="197"/>
      <c r="C228" s="197"/>
      <c r="D228" s="197"/>
      <c r="E228" s="197"/>
      <c r="F228" s="214"/>
      <c r="G228" s="197"/>
      <c r="H228" s="198"/>
      <c r="I228" s="197"/>
      <c r="J228" s="197"/>
      <c r="K228" s="198"/>
      <c r="L228" s="197"/>
      <c r="M228" s="197"/>
      <c r="N228" s="198"/>
      <c r="O228" s="197"/>
      <c r="P228" s="197"/>
      <c r="Q228" s="198"/>
      <c r="R228" s="197"/>
    </row>
    <row r="229">
      <c r="A229" s="197"/>
      <c r="B229" s="197"/>
      <c r="C229" s="197"/>
      <c r="D229" s="197"/>
      <c r="E229" s="197"/>
      <c r="F229" s="214"/>
      <c r="G229" s="197"/>
      <c r="H229" s="198"/>
      <c r="I229" s="197"/>
      <c r="J229" s="197"/>
      <c r="K229" s="198"/>
      <c r="L229" s="197"/>
      <c r="M229" s="197"/>
      <c r="N229" s="198"/>
      <c r="O229" s="197"/>
      <c r="P229" s="197"/>
      <c r="Q229" s="198"/>
      <c r="R229" s="197"/>
    </row>
    <row r="230">
      <c r="A230" s="197"/>
      <c r="B230" s="197"/>
      <c r="C230" s="197"/>
      <c r="D230" s="197"/>
      <c r="E230" s="197"/>
      <c r="F230" s="214"/>
      <c r="G230" s="197"/>
      <c r="H230" s="198"/>
      <c r="I230" s="197"/>
      <c r="J230" s="197"/>
      <c r="K230" s="198"/>
      <c r="L230" s="197"/>
      <c r="M230" s="197"/>
      <c r="N230" s="198"/>
      <c r="O230" s="197"/>
      <c r="P230" s="197"/>
      <c r="Q230" s="198"/>
      <c r="R230" s="197"/>
    </row>
    <row r="231">
      <c r="A231" s="197"/>
      <c r="B231" s="197"/>
      <c r="C231" s="197"/>
      <c r="D231" s="197"/>
      <c r="E231" s="197"/>
      <c r="F231" s="214"/>
      <c r="G231" s="197"/>
      <c r="H231" s="198"/>
      <c r="I231" s="197"/>
      <c r="J231" s="197"/>
      <c r="K231" s="198"/>
      <c r="L231" s="197"/>
      <c r="M231" s="197"/>
      <c r="N231" s="198"/>
      <c r="O231" s="197"/>
      <c r="P231" s="197"/>
      <c r="Q231" s="198"/>
      <c r="R231" s="197"/>
    </row>
    <row r="232">
      <c r="A232" s="197"/>
      <c r="B232" s="197"/>
      <c r="C232" s="197"/>
      <c r="D232" s="197"/>
      <c r="E232" s="197"/>
      <c r="F232" s="214"/>
      <c r="G232" s="197"/>
      <c r="H232" s="198"/>
      <c r="I232" s="197"/>
      <c r="J232" s="197"/>
      <c r="K232" s="198"/>
      <c r="L232" s="197"/>
      <c r="M232" s="197"/>
      <c r="N232" s="198"/>
      <c r="O232" s="197"/>
      <c r="P232" s="197"/>
      <c r="Q232" s="198"/>
      <c r="R232" s="197"/>
    </row>
    <row r="233">
      <c r="A233" s="197"/>
      <c r="B233" s="197"/>
      <c r="C233" s="197"/>
      <c r="D233" s="197"/>
      <c r="E233" s="197"/>
      <c r="F233" s="214"/>
      <c r="G233" s="197"/>
      <c r="H233" s="198"/>
      <c r="I233" s="197"/>
      <c r="J233" s="197"/>
      <c r="K233" s="198"/>
      <c r="L233" s="197"/>
      <c r="M233" s="197"/>
      <c r="N233" s="198"/>
      <c r="O233" s="197"/>
      <c r="P233" s="197"/>
      <c r="Q233" s="198"/>
      <c r="R233" s="197"/>
    </row>
    <row r="234">
      <c r="A234" s="197"/>
      <c r="B234" s="197"/>
      <c r="C234" s="197"/>
      <c r="D234" s="197"/>
      <c r="E234" s="197"/>
      <c r="F234" s="214"/>
      <c r="G234" s="197"/>
      <c r="H234" s="198"/>
      <c r="I234" s="197"/>
      <c r="J234" s="197"/>
      <c r="K234" s="198"/>
      <c r="L234" s="197"/>
      <c r="M234" s="197"/>
      <c r="N234" s="198"/>
      <c r="O234" s="197"/>
      <c r="P234" s="197"/>
      <c r="Q234" s="198"/>
      <c r="R234" s="197"/>
    </row>
    <row r="235">
      <c r="A235" s="197"/>
      <c r="B235" s="197"/>
      <c r="C235" s="197"/>
      <c r="D235" s="197"/>
      <c r="E235" s="197"/>
      <c r="F235" s="214"/>
      <c r="G235" s="197"/>
      <c r="H235" s="198"/>
      <c r="I235" s="197"/>
      <c r="J235" s="197"/>
      <c r="K235" s="198"/>
      <c r="L235" s="197"/>
      <c r="M235" s="197"/>
      <c r="N235" s="198"/>
      <c r="O235" s="197"/>
      <c r="P235" s="197"/>
      <c r="Q235" s="198"/>
      <c r="R235" s="197"/>
    </row>
    <row r="236">
      <c r="A236" s="197"/>
      <c r="B236" s="197"/>
      <c r="C236" s="197"/>
      <c r="D236" s="197"/>
      <c r="E236" s="197"/>
      <c r="F236" s="214"/>
      <c r="G236" s="197"/>
      <c r="H236" s="198"/>
      <c r="I236" s="197"/>
      <c r="J236" s="197"/>
      <c r="K236" s="198"/>
      <c r="L236" s="197"/>
      <c r="M236" s="197"/>
      <c r="N236" s="198"/>
      <c r="O236" s="197"/>
      <c r="P236" s="197"/>
      <c r="Q236" s="198"/>
      <c r="R236" s="197"/>
    </row>
    <row r="237">
      <c r="A237" s="197"/>
      <c r="B237" s="197"/>
      <c r="C237" s="197"/>
      <c r="D237" s="197"/>
      <c r="E237" s="197"/>
      <c r="F237" s="214"/>
      <c r="G237" s="197"/>
      <c r="H237" s="198"/>
      <c r="I237" s="197"/>
      <c r="J237" s="197"/>
      <c r="K237" s="198"/>
      <c r="L237" s="197"/>
      <c r="M237" s="197"/>
      <c r="N237" s="198"/>
      <c r="O237" s="197"/>
      <c r="P237" s="197"/>
      <c r="Q237" s="198"/>
      <c r="R237" s="197"/>
    </row>
    <row r="238">
      <c r="A238" s="197"/>
      <c r="B238" s="197"/>
      <c r="C238" s="197"/>
      <c r="D238" s="197"/>
      <c r="E238" s="197"/>
      <c r="F238" s="214"/>
      <c r="G238" s="197"/>
      <c r="H238" s="198"/>
      <c r="I238" s="197"/>
      <c r="J238" s="197"/>
      <c r="K238" s="198"/>
      <c r="L238" s="197"/>
      <c r="M238" s="197"/>
      <c r="N238" s="198"/>
      <c r="O238" s="197"/>
      <c r="P238" s="197"/>
      <c r="Q238" s="198"/>
      <c r="R238" s="197"/>
    </row>
    <row r="239">
      <c r="A239" s="197"/>
      <c r="B239" s="197"/>
      <c r="C239" s="197"/>
      <c r="D239" s="197"/>
      <c r="E239" s="197"/>
      <c r="F239" s="214"/>
      <c r="G239" s="197"/>
      <c r="H239" s="198"/>
      <c r="I239" s="197"/>
      <c r="J239" s="197"/>
      <c r="K239" s="198"/>
      <c r="L239" s="197"/>
      <c r="M239" s="197"/>
      <c r="N239" s="198"/>
      <c r="O239" s="197"/>
      <c r="P239" s="197"/>
      <c r="Q239" s="198"/>
      <c r="R239" s="197"/>
    </row>
    <row r="240">
      <c r="A240" s="197"/>
      <c r="B240" s="197"/>
      <c r="C240" s="197"/>
      <c r="D240" s="197"/>
      <c r="E240" s="197"/>
      <c r="F240" s="214"/>
      <c r="G240" s="197"/>
      <c r="H240" s="198"/>
      <c r="I240" s="197"/>
      <c r="J240" s="197"/>
      <c r="K240" s="198"/>
      <c r="L240" s="197"/>
      <c r="M240" s="197"/>
      <c r="N240" s="198"/>
      <c r="O240" s="197"/>
      <c r="P240" s="197"/>
      <c r="Q240" s="198"/>
      <c r="R240" s="197"/>
    </row>
    <row r="241">
      <c r="A241" s="197"/>
      <c r="B241" s="197"/>
      <c r="C241" s="197"/>
      <c r="D241" s="197"/>
      <c r="E241" s="197"/>
      <c r="F241" s="214"/>
      <c r="G241" s="197"/>
      <c r="H241" s="198"/>
      <c r="I241" s="197"/>
      <c r="J241" s="197"/>
      <c r="K241" s="198"/>
      <c r="L241" s="197"/>
      <c r="M241" s="197"/>
      <c r="N241" s="198"/>
      <c r="O241" s="197"/>
      <c r="P241" s="197"/>
      <c r="Q241" s="198"/>
      <c r="R241" s="197"/>
    </row>
    <row r="242">
      <c r="A242" s="197"/>
      <c r="B242" s="197"/>
      <c r="C242" s="197"/>
      <c r="D242" s="197"/>
      <c r="E242" s="197"/>
      <c r="F242" s="214"/>
      <c r="G242" s="197"/>
      <c r="H242" s="198"/>
      <c r="I242" s="197"/>
      <c r="J242" s="197"/>
      <c r="K242" s="198"/>
      <c r="L242" s="197"/>
      <c r="M242" s="197"/>
      <c r="N242" s="198"/>
      <c r="O242" s="197"/>
      <c r="P242" s="197"/>
      <c r="Q242" s="198"/>
      <c r="R242" s="197"/>
    </row>
    <row r="243">
      <c r="A243" s="197"/>
      <c r="B243" s="197"/>
      <c r="C243" s="197"/>
      <c r="D243" s="197"/>
      <c r="E243" s="197"/>
      <c r="F243" s="214"/>
      <c r="G243" s="197"/>
      <c r="H243" s="198"/>
      <c r="I243" s="197"/>
      <c r="J243" s="197"/>
      <c r="K243" s="198"/>
      <c r="L243" s="197"/>
      <c r="M243" s="197"/>
      <c r="N243" s="198"/>
      <c r="O243" s="197"/>
      <c r="P243" s="197"/>
      <c r="Q243" s="198"/>
      <c r="R243" s="197"/>
    </row>
    <row r="244">
      <c r="A244" s="197"/>
      <c r="B244" s="197"/>
      <c r="C244" s="197"/>
      <c r="D244" s="197"/>
      <c r="E244" s="197"/>
      <c r="F244" s="214"/>
      <c r="G244" s="197"/>
      <c r="H244" s="198"/>
      <c r="I244" s="197"/>
      <c r="J244" s="197"/>
      <c r="K244" s="198"/>
      <c r="L244" s="197"/>
      <c r="M244" s="197"/>
      <c r="N244" s="198"/>
      <c r="O244" s="197"/>
      <c r="P244" s="197"/>
      <c r="Q244" s="198"/>
      <c r="R244" s="197"/>
    </row>
    <row r="245">
      <c r="A245" s="197"/>
      <c r="B245" s="197"/>
      <c r="C245" s="197"/>
      <c r="D245" s="197"/>
      <c r="E245" s="197"/>
      <c r="F245" s="214"/>
      <c r="G245" s="197"/>
      <c r="H245" s="198"/>
      <c r="I245" s="197"/>
      <c r="J245" s="197"/>
      <c r="K245" s="198"/>
      <c r="L245" s="197"/>
      <c r="M245" s="197"/>
      <c r="N245" s="198"/>
      <c r="O245" s="197"/>
      <c r="P245" s="197"/>
      <c r="Q245" s="198"/>
      <c r="R245" s="197"/>
    </row>
    <row r="246">
      <c r="A246" s="197"/>
      <c r="B246" s="197"/>
      <c r="C246" s="197"/>
      <c r="D246" s="197"/>
      <c r="E246" s="197"/>
      <c r="F246" s="214"/>
      <c r="G246" s="197"/>
      <c r="H246" s="198"/>
      <c r="I246" s="197"/>
      <c r="J246" s="197"/>
      <c r="K246" s="198"/>
      <c r="L246" s="197"/>
      <c r="M246" s="197"/>
      <c r="N246" s="198"/>
      <c r="O246" s="197"/>
      <c r="P246" s="197"/>
      <c r="Q246" s="198"/>
      <c r="R246" s="197"/>
    </row>
    <row r="247">
      <c r="A247" s="197"/>
      <c r="B247" s="197"/>
      <c r="C247" s="197"/>
      <c r="D247" s="197"/>
      <c r="E247" s="197"/>
      <c r="F247" s="214"/>
      <c r="G247" s="197"/>
      <c r="H247" s="198"/>
      <c r="I247" s="197"/>
      <c r="J247" s="197"/>
      <c r="K247" s="198"/>
      <c r="L247" s="197"/>
      <c r="M247" s="197"/>
      <c r="N247" s="198"/>
      <c r="O247" s="197"/>
      <c r="P247" s="197"/>
      <c r="Q247" s="198"/>
      <c r="R247" s="197"/>
    </row>
    <row r="248">
      <c r="A248" s="197"/>
      <c r="B248" s="197"/>
      <c r="C248" s="197"/>
      <c r="D248" s="197"/>
      <c r="E248" s="197"/>
      <c r="F248" s="214"/>
      <c r="G248" s="197"/>
      <c r="H248" s="198"/>
      <c r="I248" s="197"/>
      <c r="J248" s="197"/>
      <c r="K248" s="198"/>
      <c r="L248" s="197"/>
      <c r="M248" s="197"/>
      <c r="N248" s="198"/>
      <c r="O248" s="197"/>
      <c r="P248" s="197"/>
      <c r="Q248" s="198"/>
      <c r="R248" s="197"/>
    </row>
    <row r="249">
      <c r="A249" s="197"/>
      <c r="B249" s="197"/>
      <c r="C249" s="197"/>
      <c r="D249" s="197"/>
      <c r="E249" s="197"/>
      <c r="F249" s="214"/>
      <c r="G249" s="197"/>
      <c r="H249" s="198"/>
      <c r="I249" s="197"/>
      <c r="J249" s="197"/>
      <c r="K249" s="198"/>
      <c r="L249" s="197"/>
      <c r="M249" s="197"/>
      <c r="N249" s="198"/>
      <c r="O249" s="197"/>
      <c r="P249" s="197"/>
      <c r="Q249" s="198"/>
      <c r="R249" s="197"/>
    </row>
    <row r="250">
      <c r="A250" s="197"/>
      <c r="B250" s="197"/>
      <c r="C250" s="197"/>
      <c r="D250" s="197"/>
      <c r="E250" s="197"/>
      <c r="F250" s="214"/>
      <c r="G250" s="197"/>
      <c r="H250" s="198"/>
      <c r="I250" s="197"/>
      <c r="J250" s="197"/>
      <c r="K250" s="198"/>
      <c r="L250" s="197"/>
      <c r="M250" s="197"/>
      <c r="N250" s="198"/>
      <c r="O250" s="197"/>
      <c r="P250" s="197"/>
      <c r="Q250" s="198"/>
      <c r="R250" s="197"/>
    </row>
    <row r="251">
      <c r="A251" s="197"/>
      <c r="B251" s="197"/>
      <c r="C251" s="197"/>
      <c r="D251" s="197"/>
      <c r="E251" s="197"/>
      <c r="F251" s="214"/>
      <c r="G251" s="197"/>
      <c r="H251" s="198"/>
      <c r="I251" s="197"/>
      <c r="J251" s="197"/>
      <c r="K251" s="198"/>
      <c r="L251" s="197"/>
      <c r="M251" s="197"/>
      <c r="N251" s="198"/>
      <c r="O251" s="197"/>
      <c r="P251" s="197"/>
      <c r="Q251" s="198"/>
      <c r="R251" s="197"/>
    </row>
    <row r="252">
      <c r="A252" s="197"/>
      <c r="B252" s="197"/>
      <c r="C252" s="197"/>
      <c r="D252" s="197"/>
      <c r="E252" s="197"/>
      <c r="F252" s="214"/>
      <c r="G252" s="197"/>
      <c r="H252" s="198"/>
      <c r="I252" s="197"/>
      <c r="J252" s="197"/>
      <c r="K252" s="198"/>
      <c r="L252" s="197"/>
      <c r="M252" s="197"/>
      <c r="N252" s="198"/>
      <c r="O252" s="197"/>
      <c r="P252" s="197"/>
      <c r="Q252" s="198"/>
      <c r="R252" s="197"/>
    </row>
    <row r="253">
      <c r="A253" s="197"/>
      <c r="B253" s="197"/>
      <c r="C253" s="197"/>
      <c r="D253" s="197"/>
      <c r="E253" s="197"/>
      <c r="F253" s="214"/>
      <c r="G253" s="197"/>
      <c r="H253" s="198"/>
      <c r="I253" s="197"/>
      <c r="J253" s="197"/>
      <c r="K253" s="198"/>
      <c r="L253" s="197"/>
      <c r="M253" s="197"/>
      <c r="N253" s="198"/>
      <c r="O253" s="197"/>
      <c r="P253" s="197"/>
      <c r="Q253" s="198"/>
      <c r="R253" s="197"/>
    </row>
    <row r="254">
      <c r="A254" s="197"/>
      <c r="B254" s="197"/>
      <c r="C254" s="197"/>
      <c r="D254" s="197"/>
      <c r="E254" s="197"/>
      <c r="F254" s="214"/>
      <c r="G254" s="197"/>
      <c r="H254" s="198"/>
      <c r="I254" s="197"/>
      <c r="J254" s="197"/>
      <c r="K254" s="198"/>
      <c r="L254" s="197"/>
      <c r="M254" s="197"/>
      <c r="N254" s="198"/>
      <c r="O254" s="197"/>
      <c r="P254" s="197"/>
      <c r="Q254" s="198"/>
      <c r="R254" s="197"/>
    </row>
    <row r="255">
      <c r="A255" s="197"/>
      <c r="B255" s="197"/>
      <c r="C255" s="197"/>
      <c r="D255" s="197"/>
      <c r="E255" s="197"/>
      <c r="F255" s="214"/>
      <c r="G255" s="197"/>
      <c r="H255" s="198"/>
      <c r="I255" s="197"/>
      <c r="J255" s="197"/>
      <c r="K255" s="198"/>
      <c r="L255" s="197"/>
      <c r="M255" s="197"/>
      <c r="N255" s="198"/>
      <c r="O255" s="197"/>
      <c r="P255" s="197"/>
      <c r="Q255" s="198"/>
      <c r="R255" s="197"/>
    </row>
    <row r="256">
      <c r="A256" s="197"/>
      <c r="B256" s="197"/>
      <c r="C256" s="197"/>
      <c r="D256" s="197"/>
      <c r="E256" s="197"/>
      <c r="F256" s="214"/>
      <c r="G256" s="197"/>
      <c r="H256" s="198"/>
      <c r="I256" s="197"/>
      <c r="J256" s="197"/>
      <c r="K256" s="198"/>
      <c r="L256" s="197"/>
      <c r="M256" s="197"/>
      <c r="N256" s="198"/>
      <c r="O256" s="197"/>
      <c r="P256" s="197"/>
      <c r="Q256" s="198"/>
      <c r="R256" s="197"/>
    </row>
    <row r="257">
      <c r="A257" s="197"/>
      <c r="B257" s="197"/>
      <c r="C257" s="197"/>
      <c r="D257" s="197"/>
      <c r="E257" s="197"/>
      <c r="F257" s="214"/>
      <c r="G257" s="197"/>
      <c r="H257" s="198"/>
      <c r="I257" s="197"/>
      <c r="J257" s="197"/>
      <c r="K257" s="198"/>
      <c r="L257" s="197"/>
      <c r="M257" s="197"/>
      <c r="N257" s="198"/>
      <c r="O257" s="197"/>
      <c r="P257" s="197"/>
      <c r="Q257" s="198"/>
      <c r="R257" s="197"/>
    </row>
    <row r="258">
      <c r="A258" s="197"/>
      <c r="B258" s="197"/>
      <c r="C258" s="197"/>
      <c r="D258" s="197"/>
      <c r="E258" s="197"/>
      <c r="F258" s="214"/>
      <c r="G258" s="197"/>
      <c r="H258" s="198"/>
      <c r="I258" s="197"/>
      <c r="J258" s="197"/>
      <c r="K258" s="198"/>
      <c r="L258" s="197"/>
      <c r="M258" s="197"/>
      <c r="N258" s="198"/>
      <c r="O258" s="197"/>
      <c r="P258" s="197"/>
      <c r="Q258" s="198"/>
      <c r="R258" s="197"/>
    </row>
    <row r="259">
      <c r="A259" s="197"/>
      <c r="B259" s="197"/>
      <c r="C259" s="197"/>
      <c r="D259" s="197"/>
      <c r="E259" s="197"/>
      <c r="F259" s="214"/>
      <c r="G259" s="197"/>
      <c r="H259" s="198"/>
      <c r="I259" s="197"/>
      <c r="J259" s="197"/>
      <c r="K259" s="198"/>
      <c r="L259" s="197"/>
      <c r="M259" s="197"/>
      <c r="N259" s="198"/>
      <c r="O259" s="197"/>
      <c r="P259" s="197"/>
      <c r="Q259" s="198"/>
      <c r="R259" s="197"/>
    </row>
    <row r="260">
      <c r="A260" s="197"/>
      <c r="B260" s="197"/>
      <c r="C260" s="197"/>
      <c r="D260" s="197"/>
      <c r="E260" s="197"/>
      <c r="F260" s="214"/>
      <c r="G260" s="197"/>
      <c r="H260" s="198"/>
      <c r="I260" s="197"/>
      <c r="J260" s="197"/>
      <c r="K260" s="198"/>
      <c r="L260" s="197"/>
      <c r="M260" s="197"/>
      <c r="N260" s="198"/>
      <c r="O260" s="197"/>
      <c r="P260" s="197"/>
      <c r="Q260" s="198"/>
      <c r="R260" s="197"/>
    </row>
    <row r="261">
      <c r="A261" s="197"/>
      <c r="B261" s="197"/>
      <c r="C261" s="197"/>
      <c r="D261" s="197"/>
      <c r="E261" s="197"/>
      <c r="F261" s="214"/>
      <c r="G261" s="197"/>
      <c r="H261" s="198"/>
      <c r="I261" s="197"/>
      <c r="J261" s="197"/>
      <c r="K261" s="198"/>
      <c r="L261" s="197"/>
      <c r="M261" s="197"/>
      <c r="N261" s="198"/>
      <c r="O261" s="197"/>
      <c r="P261" s="197"/>
      <c r="Q261" s="198"/>
      <c r="R261" s="197"/>
    </row>
    <row r="262">
      <c r="A262" s="197"/>
      <c r="B262" s="197"/>
      <c r="C262" s="197"/>
      <c r="D262" s="197"/>
      <c r="E262" s="197"/>
      <c r="F262" s="214"/>
      <c r="G262" s="197"/>
      <c r="H262" s="198"/>
      <c r="I262" s="197"/>
      <c r="J262" s="197"/>
      <c r="K262" s="198"/>
      <c r="L262" s="197"/>
      <c r="M262" s="197"/>
      <c r="N262" s="198"/>
      <c r="O262" s="197"/>
      <c r="P262" s="197"/>
      <c r="Q262" s="198"/>
      <c r="R262" s="197"/>
    </row>
    <row r="263">
      <c r="A263" s="197"/>
      <c r="B263" s="197"/>
      <c r="C263" s="197"/>
      <c r="D263" s="197"/>
      <c r="E263" s="197"/>
      <c r="F263" s="214"/>
      <c r="G263" s="197"/>
      <c r="H263" s="198"/>
      <c r="I263" s="197"/>
      <c r="J263" s="197"/>
      <c r="K263" s="198"/>
      <c r="L263" s="197"/>
      <c r="M263" s="197"/>
      <c r="N263" s="198"/>
      <c r="O263" s="197"/>
      <c r="P263" s="197"/>
      <c r="Q263" s="198"/>
      <c r="R263" s="197"/>
    </row>
    <row r="264">
      <c r="A264" s="197"/>
      <c r="B264" s="197"/>
      <c r="C264" s="197"/>
      <c r="D264" s="197"/>
      <c r="E264" s="197"/>
      <c r="F264" s="214"/>
      <c r="G264" s="197"/>
      <c r="H264" s="198"/>
      <c r="I264" s="197"/>
      <c r="J264" s="197"/>
      <c r="K264" s="198"/>
      <c r="L264" s="197"/>
      <c r="M264" s="197"/>
      <c r="N264" s="198"/>
      <c r="O264" s="197"/>
      <c r="P264" s="197"/>
      <c r="Q264" s="198"/>
      <c r="R264" s="197"/>
    </row>
    <row r="265">
      <c r="A265" s="197"/>
      <c r="B265" s="197"/>
      <c r="C265" s="197"/>
      <c r="D265" s="197"/>
      <c r="E265" s="197"/>
      <c r="F265" s="214"/>
      <c r="G265" s="197"/>
      <c r="H265" s="198"/>
      <c r="I265" s="197"/>
      <c r="J265" s="197"/>
      <c r="K265" s="198"/>
      <c r="L265" s="197"/>
      <c r="M265" s="197"/>
      <c r="N265" s="198"/>
      <c r="O265" s="197"/>
      <c r="P265" s="197"/>
      <c r="Q265" s="198"/>
      <c r="R265" s="197"/>
    </row>
    <row r="266">
      <c r="A266" s="197"/>
      <c r="B266" s="197"/>
      <c r="C266" s="197"/>
      <c r="D266" s="197"/>
      <c r="E266" s="197"/>
      <c r="F266" s="214"/>
      <c r="G266" s="197"/>
      <c r="H266" s="198"/>
      <c r="I266" s="197"/>
      <c r="J266" s="197"/>
      <c r="K266" s="198"/>
      <c r="L266" s="197"/>
      <c r="M266" s="197"/>
      <c r="N266" s="198"/>
      <c r="O266" s="197"/>
      <c r="P266" s="197"/>
      <c r="Q266" s="198"/>
      <c r="R266" s="197"/>
    </row>
    <row r="267">
      <c r="A267" s="197"/>
      <c r="B267" s="197"/>
      <c r="C267" s="197"/>
      <c r="D267" s="197"/>
      <c r="E267" s="197"/>
      <c r="F267" s="214"/>
      <c r="G267" s="197"/>
      <c r="H267" s="198"/>
      <c r="I267" s="197"/>
      <c r="J267" s="197"/>
      <c r="K267" s="198"/>
      <c r="L267" s="197"/>
      <c r="M267" s="197"/>
      <c r="N267" s="198"/>
      <c r="O267" s="197"/>
      <c r="P267" s="197"/>
      <c r="Q267" s="198"/>
      <c r="R267" s="197"/>
    </row>
    <row r="268">
      <c r="A268" s="197"/>
      <c r="B268" s="197"/>
      <c r="C268" s="197"/>
      <c r="D268" s="197"/>
      <c r="E268" s="197"/>
      <c r="F268" s="214"/>
      <c r="G268" s="197"/>
      <c r="H268" s="198"/>
      <c r="I268" s="197"/>
      <c r="J268" s="197"/>
      <c r="K268" s="198"/>
      <c r="L268" s="197"/>
      <c r="M268" s="197"/>
      <c r="N268" s="198"/>
      <c r="O268" s="197"/>
      <c r="P268" s="197"/>
      <c r="Q268" s="198"/>
      <c r="R268" s="197"/>
    </row>
    <row r="269">
      <c r="A269" s="197"/>
      <c r="B269" s="197"/>
      <c r="C269" s="197"/>
      <c r="D269" s="197"/>
      <c r="E269" s="197"/>
      <c r="F269" s="214"/>
      <c r="G269" s="197"/>
      <c r="H269" s="198"/>
      <c r="I269" s="197"/>
      <c r="J269" s="197"/>
      <c r="K269" s="198"/>
      <c r="L269" s="197"/>
      <c r="M269" s="197"/>
      <c r="N269" s="198"/>
      <c r="O269" s="197"/>
      <c r="P269" s="197"/>
      <c r="Q269" s="198"/>
      <c r="R269" s="197"/>
    </row>
    <row r="270">
      <c r="A270" s="197"/>
      <c r="B270" s="197"/>
      <c r="C270" s="197"/>
      <c r="D270" s="197"/>
      <c r="E270" s="197"/>
      <c r="F270" s="214"/>
      <c r="G270" s="197"/>
      <c r="H270" s="198"/>
      <c r="I270" s="197"/>
      <c r="J270" s="197"/>
      <c r="K270" s="198"/>
      <c r="L270" s="197"/>
      <c r="M270" s="197"/>
      <c r="N270" s="198"/>
      <c r="O270" s="197"/>
      <c r="P270" s="197"/>
      <c r="Q270" s="198"/>
      <c r="R270" s="197"/>
    </row>
    <row r="271">
      <c r="A271" s="197"/>
      <c r="B271" s="197"/>
      <c r="C271" s="197"/>
      <c r="D271" s="197"/>
      <c r="E271" s="197"/>
      <c r="F271" s="214"/>
      <c r="G271" s="197"/>
      <c r="H271" s="198"/>
      <c r="I271" s="197"/>
      <c r="J271" s="197"/>
      <c r="K271" s="198"/>
      <c r="L271" s="197"/>
      <c r="M271" s="197"/>
      <c r="N271" s="198"/>
      <c r="O271" s="197"/>
      <c r="P271" s="197"/>
      <c r="Q271" s="198"/>
      <c r="R271" s="197"/>
    </row>
    <row r="272">
      <c r="A272" s="197"/>
      <c r="B272" s="197"/>
      <c r="C272" s="197"/>
      <c r="D272" s="197"/>
      <c r="E272" s="197"/>
      <c r="F272" s="214"/>
      <c r="G272" s="197"/>
      <c r="H272" s="198"/>
      <c r="I272" s="197"/>
      <c r="J272" s="197"/>
      <c r="K272" s="198"/>
      <c r="L272" s="197"/>
      <c r="M272" s="197"/>
      <c r="N272" s="198"/>
      <c r="O272" s="197"/>
      <c r="P272" s="197"/>
      <c r="Q272" s="198"/>
      <c r="R272" s="197"/>
    </row>
    <row r="273">
      <c r="A273" s="197"/>
      <c r="B273" s="197"/>
      <c r="C273" s="197"/>
      <c r="D273" s="197"/>
      <c r="E273" s="197"/>
      <c r="F273" s="214"/>
      <c r="G273" s="197"/>
      <c r="H273" s="198"/>
      <c r="I273" s="197"/>
      <c r="J273" s="197"/>
      <c r="K273" s="198"/>
      <c r="L273" s="197"/>
      <c r="M273" s="197"/>
      <c r="N273" s="198"/>
      <c r="O273" s="197"/>
      <c r="P273" s="197"/>
      <c r="Q273" s="198"/>
      <c r="R273" s="197"/>
    </row>
    <row r="274">
      <c r="A274" s="197"/>
      <c r="B274" s="197"/>
      <c r="C274" s="197"/>
      <c r="D274" s="197"/>
      <c r="E274" s="197"/>
      <c r="F274" s="214"/>
      <c r="G274" s="197"/>
      <c r="H274" s="198"/>
      <c r="I274" s="197"/>
      <c r="J274" s="197"/>
      <c r="K274" s="198"/>
      <c r="L274" s="197"/>
      <c r="M274" s="197"/>
      <c r="N274" s="198"/>
      <c r="O274" s="197"/>
      <c r="P274" s="197"/>
      <c r="Q274" s="198"/>
      <c r="R274" s="197"/>
    </row>
    <row r="275">
      <c r="A275" s="197"/>
      <c r="B275" s="197"/>
      <c r="C275" s="197"/>
      <c r="D275" s="197"/>
      <c r="E275" s="197"/>
      <c r="F275" s="214"/>
      <c r="G275" s="197"/>
      <c r="H275" s="198"/>
      <c r="I275" s="197"/>
      <c r="J275" s="197"/>
      <c r="K275" s="198"/>
      <c r="L275" s="197"/>
      <c r="M275" s="197"/>
      <c r="N275" s="198"/>
      <c r="O275" s="197"/>
      <c r="P275" s="197"/>
      <c r="Q275" s="198"/>
      <c r="R275" s="197"/>
    </row>
    <row r="276">
      <c r="A276" s="197"/>
      <c r="B276" s="197"/>
      <c r="C276" s="197"/>
      <c r="D276" s="197"/>
      <c r="E276" s="197"/>
      <c r="F276" s="214"/>
      <c r="G276" s="197"/>
      <c r="H276" s="198"/>
      <c r="I276" s="197"/>
      <c r="J276" s="197"/>
      <c r="K276" s="198"/>
      <c r="L276" s="197"/>
      <c r="M276" s="197"/>
      <c r="N276" s="198"/>
      <c r="O276" s="197"/>
      <c r="P276" s="197"/>
      <c r="Q276" s="198"/>
      <c r="R276" s="197"/>
    </row>
    <row r="277">
      <c r="A277" s="197"/>
      <c r="B277" s="197"/>
      <c r="C277" s="197"/>
      <c r="D277" s="197"/>
      <c r="E277" s="197"/>
      <c r="F277" s="214"/>
      <c r="G277" s="197"/>
      <c r="H277" s="198"/>
      <c r="I277" s="197"/>
      <c r="J277" s="197"/>
      <c r="K277" s="198"/>
      <c r="L277" s="197"/>
      <c r="M277" s="197"/>
      <c r="N277" s="198"/>
      <c r="O277" s="197"/>
      <c r="P277" s="197"/>
      <c r="Q277" s="198"/>
      <c r="R277" s="197"/>
    </row>
    <row r="278">
      <c r="A278" s="197"/>
      <c r="B278" s="197"/>
      <c r="C278" s="197"/>
      <c r="D278" s="197"/>
      <c r="E278" s="197"/>
      <c r="F278" s="214"/>
      <c r="G278" s="197"/>
      <c r="H278" s="198"/>
      <c r="I278" s="197"/>
      <c r="J278" s="197"/>
      <c r="K278" s="198"/>
      <c r="L278" s="197"/>
      <c r="M278" s="197"/>
      <c r="N278" s="198"/>
      <c r="O278" s="197"/>
      <c r="P278" s="197"/>
      <c r="Q278" s="198"/>
      <c r="R278" s="197"/>
    </row>
    <row r="279">
      <c r="A279" s="197"/>
      <c r="B279" s="197"/>
      <c r="C279" s="197"/>
      <c r="D279" s="197"/>
      <c r="E279" s="197"/>
      <c r="F279" s="214"/>
      <c r="G279" s="197"/>
      <c r="H279" s="198"/>
      <c r="I279" s="197"/>
      <c r="J279" s="197"/>
      <c r="K279" s="198"/>
      <c r="L279" s="197"/>
      <c r="M279" s="197"/>
      <c r="N279" s="198"/>
      <c r="O279" s="197"/>
      <c r="P279" s="197"/>
      <c r="Q279" s="198"/>
      <c r="R279" s="197"/>
    </row>
    <row r="280">
      <c r="A280" s="197"/>
      <c r="B280" s="197"/>
      <c r="C280" s="197"/>
      <c r="D280" s="197"/>
      <c r="E280" s="197"/>
      <c r="F280" s="214"/>
      <c r="G280" s="197"/>
      <c r="H280" s="198"/>
      <c r="I280" s="197"/>
      <c r="J280" s="197"/>
      <c r="K280" s="198"/>
      <c r="L280" s="197"/>
      <c r="M280" s="197"/>
      <c r="N280" s="198"/>
      <c r="O280" s="197"/>
      <c r="P280" s="197"/>
      <c r="Q280" s="198"/>
      <c r="R280" s="197"/>
    </row>
    <row r="281">
      <c r="A281" s="197"/>
      <c r="B281" s="197"/>
      <c r="C281" s="197"/>
      <c r="D281" s="197"/>
      <c r="E281" s="197"/>
      <c r="F281" s="214"/>
      <c r="G281" s="197"/>
      <c r="H281" s="198"/>
      <c r="I281" s="197"/>
      <c r="J281" s="197"/>
      <c r="K281" s="198"/>
      <c r="L281" s="197"/>
      <c r="M281" s="197"/>
      <c r="N281" s="198"/>
      <c r="O281" s="197"/>
      <c r="P281" s="197"/>
      <c r="Q281" s="198"/>
      <c r="R281" s="197"/>
    </row>
    <row r="282">
      <c r="A282" s="197"/>
      <c r="B282" s="197"/>
      <c r="C282" s="197"/>
      <c r="D282" s="197"/>
      <c r="E282" s="197"/>
      <c r="F282" s="214"/>
      <c r="G282" s="197"/>
      <c r="H282" s="198"/>
      <c r="I282" s="197"/>
      <c r="J282" s="197"/>
      <c r="K282" s="198"/>
      <c r="L282" s="197"/>
      <c r="M282" s="197"/>
      <c r="N282" s="198"/>
      <c r="O282" s="197"/>
      <c r="P282" s="197"/>
      <c r="Q282" s="198"/>
      <c r="R282" s="197"/>
    </row>
    <row r="283">
      <c r="A283" s="197"/>
      <c r="B283" s="197"/>
      <c r="C283" s="197"/>
      <c r="D283" s="197"/>
      <c r="E283" s="197"/>
      <c r="F283" s="214"/>
      <c r="G283" s="197"/>
      <c r="H283" s="198"/>
      <c r="I283" s="197"/>
      <c r="J283" s="197"/>
      <c r="K283" s="198"/>
      <c r="L283" s="197"/>
      <c r="M283" s="197"/>
      <c r="N283" s="198"/>
      <c r="O283" s="197"/>
      <c r="P283" s="197"/>
      <c r="Q283" s="198"/>
      <c r="R283" s="197"/>
    </row>
    <row r="284">
      <c r="A284" s="197"/>
      <c r="B284" s="197"/>
      <c r="C284" s="197"/>
      <c r="D284" s="197"/>
      <c r="E284" s="197"/>
      <c r="F284" s="214"/>
      <c r="G284" s="197"/>
      <c r="H284" s="198"/>
      <c r="I284" s="197"/>
      <c r="J284" s="197"/>
      <c r="K284" s="198"/>
      <c r="L284" s="197"/>
      <c r="M284" s="197"/>
      <c r="N284" s="198"/>
      <c r="O284" s="197"/>
      <c r="P284" s="197"/>
      <c r="Q284" s="198"/>
      <c r="R284" s="197"/>
    </row>
    <row r="285">
      <c r="A285" s="197"/>
      <c r="B285" s="197"/>
      <c r="C285" s="197"/>
      <c r="D285" s="197"/>
      <c r="E285" s="197"/>
      <c r="F285" s="214"/>
      <c r="G285" s="197"/>
      <c r="H285" s="198"/>
      <c r="I285" s="197"/>
      <c r="J285" s="197"/>
      <c r="K285" s="198"/>
      <c r="L285" s="197"/>
      <c r="M285" s="197"/>
      <c r="N285" s="198"/>
      <c r="O285" s="197"/>
      <c r="P285" s="197"/>
      <c r="Q285" s="198"/>
      <c r="R285" s="197"/>
    </row>
    <row r="286">
      <c r="A286" s="197"/>
      <c r="B286" s="197"/>
      <c r="C286" s="197"/>
      <c r="D286" s="197"/>
      <c r="E286" s="197"/>
      <c r="F286" s="214"/>
      <c r="G286" s="197"/>
      <c r="H286" s="198"/>
      <c r="I286" s="197"/>
      <c r="J286" s="197"/>
      <c r="K286" s="198"/>
      <c r="L286" s="197"/>
      <c r="M286" s="197"/>
      <c r="N286" s="198"/>
      <c r="O286" s="197"/>
      <c r="P286" s="197"/>
      <c r="Q286" s="198"/>
      <c r="R286" s="197"/>
    </row>
    <row r="287">
      <c r="A287" s="197"/>
      <c r="B287" s="197"/>
      <c r="C287" s="197"/>
      <c r="D287" s="197"/>
      <c r="E287" s="197"/>
      <c r="F287" s="214"/>
      <c r="G287" s="197"/>
      <c r="H287" s="198"/>
      <c r="I287" s="197"/>
      <c r="J287" s="197"/>
      <c r="K287" s="198"/>
      <c r="L287" s="197"/>
      <c r="M287" s="197"/>
      <c r="N287" s="198"/>
      <c r="O287" s="197"/>
      <c r="P287" s="197"/>
      <c r="Q287" s="198"/>
      <c r="R287" s="197"/>
    </row>
    <row r="288">
      <c r="A288" s="197"/>
      <c r="B288" s="197"/>
      <c r="C288" s="197"/>
      <c r="D288" s="197"/>
      <c r="E288" s="197"/>
      <c r="F288" s="214"/>
      <c r="G288" s="197"/>
      <c r="H288" s="198"/>
      <c r="I288" s="197"/>
      <c r="J288" s="197"/>
      <c r="K288" s="198"/>
      <c r="L288" s="197"/>
      <c r="M288" s="197"/>
      <c r="N288" s="198"/>
      <c r="O288" s="197"/>
      <c r="P288" s="197"/>
      <c r="Q288" s="198"/>
      <c r="R288" s="197"/>
    </row>
    <row r="289">
      <c r="A289" s="197"/>
      <c r="B289" s="197"/>
      <c r="C289" s="197"/>
      <c r="D289" s="197"/>
      <c r="E289" s="197"/>
      <c r="F289" s="214"/>
      <c r="G289" s="197"/>
      <c r="H289" s="198"/>
      <c r="I289" s="197"/>
      <c r="J289" s="197"/>
      <c r="K289" s="198"/>
      <c r="L289" s="197"/>
      <c r="M289" s="197"/>
      <c r="N289" s="198"/>
      <c r="O289" s="197"/>
      <c r="P289" s="197"/>
      <c r="Q289" s="198"/>
      <c r="R289" s="197"/>
    </row>
    <row r="290">
      <c r="A290" s="197"/>
      <c r="B290" s="197"/>
      <c r="C290" s="197"/>
      <c r="D290" s="197"/>
      <c r="E290" s="197"/>
      <c r="F290" s="214"/>
      <c r="G290" s="197"/>
      <c r="H290" s="198"/>
      <c r="I290" s="197"/>
      <c r="J290" s="197"/>
      <c r="K290" s="198"/>
      <c r="L290" s="197"/>
      <c r="M290" s="197"/>
      <c r="N290" s="198"/>
      <c r="O290" s="197"/>
      <c r="P290" s="197"/>
      <c r="Q290" s="198"/>
      <c r="R290" s="197"/>
    </row>
    <row r="291">
      <c r="A291" s="197"/>
      <c r="B291" s="197"/>
      <c r="C291" s="197"/>
      <c r="D291" s="197"/>
      <c r="E291" s="197"/>
      <c r="F291" s="214"/>
      <c r="G291" s="197"/>
      <c r="H291" s="198"/>
      <c r="I291" s="197"/>
      <c r="J291" s="197"/>
      <c r="K291" s="198"/>
      <c r="L291" s="197"/>
      <c r="M291" s="197"/>
      <c r="N291" s="198"/>
      <c r="O291" s="197"/>
      <c r="P291" s="197"/>
      <c r="Q291" s="198"/>
      <c r="R291" s="197"/>
    </row>
    <row r="292">
      <c r="A292" s="197"/>
      <c r="B292" s="197"/>
      <c r="C292" s="197"/>
      <c r="D292" s="197"/>
      <c r="E292" s="197"/>
      <c r="F292" s="214"/>
      <c r="G292" s="197"/>
      <c r="H292" s="198"/>
      <c r="I292" s="197"/>
      <c r="J292" s="197"/>
      <c r="K292" s="198"/>
      <c r="L292" s="197"/>
      <c r="M292" s="197"/>
      <c r="N292" s="198"/>
      <c r="O292" s="197"/>
      <c r="P292" s="197"/>
      <c r="Q292" s="198"/>
      <c r="R292" s="197"/>
    </row>
    <row r="293">
      <c r="A293" s="197"/>
      <c r="B293" s="197"/>
      <c r="C293" s="197"/>
      <c r="D293" s="197"/>
      <c r="E293" s="197"/>
      <c r="F293" s="214"/>
      <c r="G293" s="197"/>
      <c r="H293" s="198"/>
      <c r="I293" s="197"/>
      <c r="J293" s="197"/>
      <c r="K293" s="198"/>
      <c r="L293" s="197"/>
      <c r="M293" s="197"/>
      <c r="N293" s="198"/>
      <c r="O293" s="197"/>
      <c r="P293" s="197"/>
      <c r="Q293" s="198"/>
      <c r="R293" s="197"/>
    </row>
    <row r="294">
      <c r="A294" s="197"/>
      <c r="B294" s="197"/>
      <c r="C294" s="197"/>
      <c r="D294" s="197"/>
      <c r="E294" s="197"/>
      <c r="F294" s="214"/>
      <c r="G294" s="197"/>
      <c r="H294" s="198"/>
      <c r="I294" s="197"/>
      <c r="J294" s="197"/>
      <c r="K294" s="198"/>
      <c r="L294" s="197"/>
      <c r="M294" s="197"/>
      <c r="N294" s="198"/>
      <c r="O294" s="197"/>
      <c r="P294" s="197"/>
      <c r="Q294" s="198"/>
      <c r="R294" s="197"/>
    </row>
    <row r="295">
      <c r="A295" s="197"/>
      <c r="B295" s="197"/>
      <c r="C295" s="197"/>
      <c r="D295" s="197"/>
      <c r="E295" s="197"/>
      <c r="F295" s="214"/>
      <c r="G295" s="197"/>
      <c r="H295" s="198"/>
      <c r="I295" s="197"/>
      <c r="J295" s="197"/>
      <c r="K295" s="198"/>
      <c r="L295" s="197"/>
      <c r="M295" s="197"/>
      <c r="N295" s="198"/>
      <c r="O295" s="197"/>
      <c r="P295" s="197"/>
      <c r="Q295" s="198"/>
      <c r="R295" s="197"/>
    </row>
    <row r="296">
      <c r="A296" s="197"/>
      <c r="B296" s="197"/>
      <c r="C296" s="197"/>
      <c r="D296" s="197"/>
      <c r="E296" s="197"/>
      <c r="F296" s="214"/>
      <c r="G296" s="197"/>
      <c r="H296" s="198"/>
      <c r="I296" s="197"/>
      <c r="J296" s="197"/>
      <c r="K296" s="198"/>
      <c r="L296" s="197"/>
      <c r="M296" s="197"/>
      <c r="N296" s="198"/>
      <c r="O296" s="197"/>
      <c r="P296" s="197"/>
      <c r="Q296" s="198"/>
      <c r="R296" s="197"/>
    </row>
    <row r="297">
      <c r="A297" s="197"/>
      <c r="B297" s="197"/>
      <c r="C297" s="197"/>
      <c r="D297" s="197"/>
      <c r="E297" s="197"/>
      <c r="F297" s="214"/>
      <c r="G297" s="197"/>
      <c r="H297" s="198"/>
      <c r="I297" s="197"/>
      <c r="J297" s="197"/>
      <c r="K297" s="198"/>
      <c r="L297" s="197"/>
      <c r="M297" s="197"/>
      <c r="N297" s="198"/>
      <c r="O297" s="197"/>
      <c r="P297" s="197"/>
      <c r="Q297" s="198"/>
      <c r="R297" s="197"/>
    </row>
    <row r="298">
      <c r="A298" s="197"/>
      <c r="B298" s="197"/>
      <c r="C298" s="197"/>
      <c r="D298" s="197"/>
      <c r="E298" s="197"/>
      <c r="F298" s="214"/>
      <c r="G298" s="197"/>
      <c r="H298" s="198"/>
      <c r="I298" s="197"/>
      <c r="J298" s="197"/>
      <c r="K298" s="198"/>
      <c r="L298" s="197"/>
      <c r="M298" s="197"/>
      <c r="N298" s="198"/>
      <c r="O298" s="197"/>
      <c r="P298" s="197"/>
      <c r="Q298" s="198"/>
      <c r="R298" s="197"/>
    </row>
    <row r="299">
      <c r="A299" s="197"/>
      <c r="B299" s="197"/>
      <c r="C299" s="197"/>
      <c r="D299" s="197"/>
      <c r="E299" s="197"/>
      <c r="F299" s="214"/>
      <c r="G299" s="197"/>
      <c r="H299" s="198"/>
      <c r="I299" s="197"/>
      <c r="J299" s="197"/>
      <c r="K299" s="198"/>
      <c r="L299" s="197"/>
      <c r="M299" s="197"/>
      <c r="N299" s="198"/>
      <c r="O299" s="197"/>
      <c r="P299" s="197"/>
      <c r="Q299" s="198"/>
      <c r="R299" s="197"/>
    </row>
    <row r="300">
      <c r="A300" s="197"/>
      <c r="B300" s="197"/>
      <c r="C300" s="197"/>
      <c r="D300" s="197"/>
      <c r="E300" s="197"/>
      <c r="F300" s="214"/>
      <c r="G300" s="197"/>
      <c r="H300" s="198"/>
      <c r="I300" s="197"/>
      <c r="J300" s="197"/>
      <c r="K300" s="198"/>
      <c r="L300" s="197"/>
      <c r="M300" s="197"/>
      <c r="N300" s="198"/>
      <c r="O300" s="197"/>
      <c r="P300" s="197"/>
      <c r="Q300" s="198"/>
      <c r="R300" s="197"/>
    </row>
    <row r="301">
      <c r="A301" s="197"/>
      <c r="B301" s="197"/>
      <c r="C301" s="197"/>
      <c r="D301" s="197"/>
      <c r="E301" s="197"/>
      <c r="F301" s="214"/>
      <c r="G301" s="197"/>
      <c r="H301" s="198"/>
      <c r="I301" s="197"/>
      <c r="J301" s="197"/>
      <c r="K301" s="198"/>
      <c r="L301" s="197"/>
      <c r="M301" s="197"/>
      <c r="N301" s="198"/>
      <c r="O301" s="197"/>
      <c r="P301" s="197"/>
      <c r="Q301" s="198"/>
      <c r="R301" s="197"/>
    </row>
    <row r="302">
      <c r="A302" s="197"/>
      <c r="B302" s="197"/>
      <c r="C302" s="197"/>
      <c r="D302" s="197"/>
      <c r="E302" s="197"/>
      <c r="F302" s="214"/>
      <c r="G302" s="197"/>
      <c r="H302" s="198"/>
      <c r="I302" s="197"/>
      <c r="J302" s="197"/>
      <c r="K302" s="198"/>
      <c r="L302" s="197"/>
      <c r="M302" s="197"/>
      <c r="N302" s="198"/>
      <c r="O302" s="197"/>
      <c r="P302" s="197"/>
      <c r="Q302" s="198"/>
      <c r="R302" s="197"/>
    </row>
    <row r="303">
      <c r="A303" s="197"/>
      <c r="B303" s="197"/>
      <c r="C303" s="197"/>
      <c r="D303" s="197"/>
      <c r="E303" s="197"/>
      <c r="F303" s="214"/>
      <c r="G303" s="197"/>
      <c r="H303" s="198"/>
      <c r="I303" s="197"/>
      <c r="J303" s="197"/>
      <c r="K303" s="198"/>
      <c r="L303" s="197"/>
      <c r="M303" s="197"/>
      <c r="N303" s="198"/>
      <c r="O303" s="197"/>
      <c r="P303" s="197"/>
      <c r="Q303" s="198"/>
      <c r="R303" s="197"/>
    </row>
    <row r="304">
      <c r="A304" s="197"/>
      <c r="B304" s="197"/>
      <c r="C304" s="197"/>
      <c r="D304" s="197"/>
      <c r="E304" s="197"/>
      <c r="F304" s="214"/>
      <c r="G304" s="197"/>
      <c r="H304" s="198"/>
      <c r="I304" s="197"/>
      <c r="J304" s="197"/>
      <c r="K304" s="198"/>
      <c r="L304" s="197"/>
      <c r="M304" s="197"/>
      <c r="N304" s="198"/>
      <c r="O304" s="197"/>
      <c r="P304" s="197"/>
      <c r="Q304" s="198"/>
      <c r="R304" s="197"/>
    </row>
    <row r="305">
      <c r="A305" s="197"/>
      <c r="B305" s="197"/>
      <c r="C305" s="197"/>
      <c r="D305" s="197"/>
      <c r="E305" s="197"/>
      <c r="F305" s="214"/>
      <c r="G305" s="197"/>
      <c r="H305" s="198"/>
      <c r="I305" s="197"/>
      <c r="J305" s="197"/>
      <c r="K305" s="198"/>
      <c r="L305" s="197"/>
      <c r="M305" s="197"/>
      <c r="N305" s="198"/>
      <c r="O305" s="197"/>
      <c r="P305" s="197"/>
      <c r="Q305" s="198"/>
      <c r="R305" s="197"/>
    </row>
    <row r="306">
      <c r="A306" s="197"/>
      <c r="B306" s="197"/>
      <c r="C306" s="197"/>
      <c r="D306" s="197"/>
      <c r="E306" s="197"/>
      <c r="F306" s="214"/>
      <c r="G306" s="197"/>
      <c r="H306" s="198"/>
      <c r="I306" s="197"/>
      <c r="J306" s="197"/>
      <c r="K306" s="198"/>
      <c r="L306" s="197"/>
      <c r="M306" s="197"/>
      <c r="N306" s="198"/>
      <c r="O306" s="197"/>
      <c r="P306" s="197"/>
      <c r="Q306" s="198"/>
      <c r="R306" s="197"/>
    </row>
    <row r="307">
      <c r="A307" s="197"/>
      <c r="B307" s="197"/>
      <c r="C307" s="197"/>
      <c r="D307" s="197"/>
      <c r="E307" s="197"/>
      <c r="F307" s="214"/>
      <c r="G307" s="197"/>
      <c r="H307" s="198"/>
      <c r="I307" s="197"/>
      <c r="J307" s="197"/>
      <c r="K307" s="198"/>
      <c r="L307" s="197"/>
      <c r="M307" s="197"/>
      <c r="N307" s="198"/>
      <c r="O307" s="197"/>
      <c r="P307" s="197"/>
      <c r="Q307" s="198"/>
      <c r="R307" s="197"/>
    </row>
    <row r="308">
      <c r="A308" s="197"/>
      <c r="B308" s="197"/>
      <c r="C308" s="197"/>
      <c r="D308" s="197"/>
      <c r="E308" s="197"/>
      <c r="F308" s="214"/>
      <c r="G308" s="197"/>
      <c r="H308" s="198"/>
      <c r="I308" s="197"/>
      <c r="J308" s="197"/>
      <c r="K308" s="198"/>
      <c r="L308" s="197"/>
      <c r="M308" s="197"/>
      <c r="N308" s="198"/>
      <c r="O308" s="197"/>
      <c r="P308" s="197"/>
      <c r="Q308" s="198"/>
      <c r="R308" s="197"/>
    </row>
    <row r="309">
      <c r="A309" s="197"/>
      <c r="B309" s="197"/>
      <c r="C309" s="197"/>
      <c r="D309" s="197"/>
      <c r="E309" s="197"/>
      <c r="F309" s="214"/>
      <c r="G309" s="197"/>
      <c r="H309" s="198"/>
      <c r="I309" s="197"/>
      <c r="J309" s="197"/>
      <c r="K309" s="198"/>
      <c r="L309" s="197"/>
      <c r="M309" s="197"/>
      <c r="N309" s="198"/>
      <c r="O309" s="197"/>
      <c r="P309" s="197"/>
      <c r="Q309" s="198"/>
      <c r="R309" s="197"/>
    </row>
    <row r="310">
      <c r="A310" s="197"/>
      <c r="B310" s="197"/>
      <c r="C310" s="197"/>
      <c r="D310" s="197"/>
      <c r="E310" s="197"/>
      <c r="F310" s="214"/>
      <c r="G310" s="197"/>
      <c r="H310" s="198"/>
      <c r="I310" s="197"/>
      <c r="J310" s="197"/>
      <c r="K310" s="198"/>
      <c r="L310" s="197"/>
      <c r="M310" s="197"/>
      <c r="N310" s="198"/>
      <c r="O310" s="197"/>
      <c r="P310" s="197"/>
      <c r="Q310" s="198"/>
      <c r="R310" s="197"/>
    </row>
    <row r="311">
      <c r="A311" s="197"/>
      <c r="B311" s="197"/>
      <c r="C311" s="197"/>
      <c r="D311" s="197"/>
      <c r="E311" s="197"/>
      <c r="F311" s="214"/>
      <c r="G311" s="197"/>
      <c r="H311" s="198"/>
      <c r="I311" s="197"/>
      <c r="J311" s="197"/>
      <c r="K311" s="198"/>
      <c r="L311" s="197"/>
      <c r="M311" s="197"/>
      <c r="N311" s="198"/>
      <c r="O311" s="197"/>
      <c r="P311" s="197"/>
      <c r="Q311" s="198"/>
      <c r="R311" s="197"/>
    </row>
    <row r="312">
      <c r="A312" s="197"/>
      <c r="B312" s="197"/>
      <c r="C312" s="197"/>
      <c r="D312" s="197"/>
      <c r="E312" s="197"/>
      <c r="F312" s="214"/>
      <c r="G312" s="197"/>
      <c r="H312" s="198"/>
      <c r="I312" s="197"/>
      <c r="J312" s="197"/>
      <c r="K312" s="198"/>
      <c r="L312" s="197"/>
      <c r="M312" s="197"/>
      <c r="N312" s="198"/>
      <c r="O312" s="197"/>
      <c r="P312" s="197"/>
      <c r="Q312" s="198"/>
      <c r="R312" s="197"/>
    </row>
    <row r="313">
      <c r="A313" s="197"/>
      <c r="B313" s="197"/>
      <c r="C313" s="197"/>
      <c r="D313" s="197"/>
      <c r="E313" s="197"/>
      <c r="F313" s="214"/>
      <c r="G313" s="197"/>
      <c r="H313" s="198"/>
      <c r="I313" s="197"/>
      <c r="J313" s="197"/>
      <c r="K313" s="198"/>
      <c r="L313" s="197"/>
      <c r="M313" s="197"/>
      <c r="N313" s="198"/>
      <c r="O313" s="197"/>
      <c r="P313" s="197"/>
      <c r="Q313" s="198"/>
      <c r="R313" s="197"/>
    </row>
    <row r="314">
      <c r="A314" s="197"/>
      <c r="B314" s="197"/>
      <c r="C314" s="197"/>
      <c r="D314" s="197"/>
      <c r="E314" s="197"/>
      <c r="F314" s="214"/>
      <c r="G314" s="197"/>
      <c r="H314" s="198"/>
      <c r="I314" s="197"/>
      <c r="J314" s="197"/>
      <c r="K314" s="198"/>
      <c r="L314" s="197"/>
      <c r="M314" s="197"/>
      <c r="N314" s="198"/>
      <c r="O314" s="197"/>
      <c r="P314" s="197"/>
      <c r="Q314" s="198"/>
      <c r="R314" s="197"/>
    </row>
    <row r="315">
      <c r="A315" s="197"/>
      <c r="B315" s="197"/>
      <c r="C315" s="197"/>
      <c r="D315" s="197"/>
      <c r="E315" s="197"/>
      <c r="F315" s="214"/>
      <c r="G315" s="197"/>
      <c r="H315" s="198"/>
      <c r="I315" s="197"/>
      <c r="J315" s="197"/>
      <c r="K315" s="198"/>
      <c r="L315" s="197"/>
      <c r="M315" s="197"/>
      <c r="N315" s="198"/>
      <c r="O315" s="197"/>
      <c r="P315" s="197"/>
      <c r="Q315" s="198"/>
      <c r="R315" s="197"/>
    </row>
    <row r="316">
      <c r="A316" s="197"/>
      <c r="B316" s="197"/>
      <c r="C316" s="197"/>
      <c r="D316" s="197"/>
      <c r="E316" s="197"/>
      <c r="F316" s="214"/>
      <c r="G316" s="197"/>
      <c r="H316" s="198"/>
      <c r="I316" s="197"/>
      <c r="J316" s="197"/>
      <c r="K316" s="198"/>
      <c r="L316" s="197"/>
      <c r="M316" s="197"/>
      <c r="N316" s="198"/>
      <c r="O316" s="197"/>
      <c r="P316" s="197"/>
      <c r="Q316" s="198"/>
      <c r="R316" s="197"/>
    </row>
    <row r="317">
      <c r="A317" s="197"/>
      <c r="B317" s="197"/>
      <c r="C317" s="197"/>
      <c r="D317" s="197"/>
      <c r="E317" s="197"/>
      <c r="F317" s="214"/>
      <c r="G317" s="197"/>
      <c r="H317" s="198"/>
      <c r="I317" s="197"/>
      <c r="J317" s="197"/>
      <c r="K317" s="198"/>
      <c r="L317" s="197"/>
      <c r="M317" s="197"/>
      <c r="N317" s="198"/>
      <c r="O317" s="197"/>
      <c r="P317" s="197"/>
      <c r="Q317" s="198"/>
      <c r="R317" s="197"/>
    </row>
    <row r="318">
      <c r="A318" s="197"/>
      <c r="B318" s="197"/>
      <c r="C318" s="197"/>
      <c r="D318" s="197"/>
      <c r="E318" s="197"/>
      <c r="F318" s="214"/>
      <c r="G318" s="197"/>
      <c r="H318" s="198"/>
      <c r="I318" s="197"/>
      <c r="J318" s="197"/>
      <c r="K318" s="198"/>
      <c r="L318" s="197"/>
      <c r="M318" s="197"/>
      <c r="N318" s="198"/>
      <c r="O318" s="197"/>
      <c r="P318" s="197"/>
      <c r="Q318" s="198"/>
      <c r="R318" s="197"/>
    </row>
    <row r="319">
      <c r="A319" s="197"/>
      <c r="B319" s="197"/>
      <c r="C319" s="197"/>
      <c r="D319" s="197"/>
      <c r="E319" s="197"/>
      <c r="F319" s="214"/>
      <c r="G319" s="197"/>
      <c r="H319" s="198"/>
      <c r="I319" s="197"/>
      <c r="J319" s="197"/>
      <c r="K319" s="198"/>
      <c r="L319" s="197"/>
      <c r="M319" s="197"/>
      <c r="N319" s="198"/>
      <c r="O319" s="197"/>
      <c r="P319" s="197"/>
      <c r="Q319" s="198"/>
      <c r="R319" s="197"/>
    </row>
    <row r="320">
      <c r="A320" s="197"/>
      <c r="B320" s="197"/>
      <c r="C320" s="197"/>
      <c r="D320" s="197"/>
      <c r="E320" s="197"/>
      <c r="F320" s="214"/>
      <c r="G320" s="197"/>
      <c r="H320" s="198"/>
      <c r="I320" s="197"/>
      <c r="J320" s="197"/>
      <c r="K320" s="198"/>
      <c r="L320" s="197"/>
      <c r="M320" s="197"/>
      <c r="N320" s="198"/>
      <c r="O320" s="197"/>
      <c r="P320" s="197"/>
      <c r="Q320" s="198"/>
      <c r="R320" s="197"/>
    </row>
    <row r="321">
      <c r="A321" s="197"/>
      <c r="B321" s="197"/>
      <c r="C321" s="197"/>
      <c r="D321" s="197"/>
      <c r="E321" s="197"/>
      <c r="F321" s="214"/>
      <c r="G321" s="197"/>
      <c r="H321" s="198"/>
      <c r="I321" s="197"/>
      <c r="J321" s="197"/>
      <c r="K321" s="198"/>
      <c r="L321" s="197"/>
      <c r="M321" s="197"/>
      <c r="N321" s="198"/>
      <c r="O321" s="197"/>
      <c r="P321" s="197"/>
      <c r="Q321" s="198"/>
      <c r="R321" s="197"/>
    </row>
    <row r="322">
      <c r="A322" s="197"/>
      <c r="B322" s="197"/>
      <c r="C322" s="197"/>
      <c r="D322" s="197"/>
      <c r="E322" s="197"/>
      <c r="F322" s="214"/>
      <c r="G322" s="197"/>
      <c r="H322" s="198"/>
      <c r="I322" s="197"/>
      <c r="J322" s="197"/>
      <c r="K322" s="198"/>
      <c r="L322" s="197"/>
      <c r="M322" s="197"/>
      <c r="N322" s="198"/>
      <c r="O322" s="197"/>
      <c r="P322" s="197"/>
      <c r="Q322" s="198"/>
      <c r="R322" s="197"/>
    </row>
    <row r="323">
      <c r="A323" s="197"/>
      <c r="B323" s="197"/>
      <c r="C323" s="197"/>
      <c r="D323" s="197"/>
      <c r="E323" s="197"/>
      <c r="F323" s="214"/>
      <c r="G323" s="197"/>
      <c r="H323" s="198"/>
      <c r="I323" s="197"/>
      <c r="J323" s="197"/>
      <c r="K323" s="198"/>
      <c r="L323" s="197"/>
      <c r="M323" s="197"/>
      <c r="N323" s="198"/>
      <c r="O323" s="197"/>
      <c r="P323" s="197"/>
      <c r="Q323" s="198"/>
      <c r="R323" s="197"/>
    </row>
    <row r="324">
      <c r="A324" s="197"/>
      <c r="B324" s="197"/>
      <c r="C324" s="197"/>
      <c r="D324" s="197"/>
      <c r="E324" s="197"/>
      <c r="F324" s="214"/>
      <c r="G324" s="197"/>
      <c r="H324" s="198"/>
      <c r="I324" s="197"/>
      <c r="J324" s="197"/>
      <c r="K324" s="198"/>
      <c r="L324" s="197"/>
      <c r="M324" s="197"/>
      <c r="N324" s="198"/>
      <c r="O324" s="197"/>
      <c r="P324" s="197"/>
      <c r="Q324" s="198"/>
      <c r="R324" s="197"/>
    </row>
    <row r="325">
      <c r="A325" s="197"/>
      <c r="B325" s="197"/>
      <c r="C325" s="197"/>
      <c r="D325" s="197"/>
      <c r="E325" s="197"/>
      <c r="F325" s="214"/>
      <c r="G325" s="197"/>
      <c r="H325" s="198"/>
      <c r="I325" s="197"/>
      <c r="J325" s="197"/>
      <c r="K325" s="198"/>
      <c r="L325" s="197"/>
      <c r="M325" s="197"/>
      <c r="N325" s="198"/>
      <c r="O325" s="197"/>
      <c r="P325" s="197"/>
      <c r="Q325" s="198"/>
      <c r="R325" s="197"/>
    </row>
    <row r="326">
      <c r="A326" s="197"/>
      <c r="B326" s="197"/>
      <c r="C326" s="197"/>
      <c r="D326" s="197"/>
      <c r="E326" s="197"/>
      <c r="F326" s="214"/>
      <c r="G326" s="197"/>
      <c r="H326" s="198"/>
      <c r="I326" s="197"/>
      <c r="J326" s="197"/>
      <c r="K326" s="198"/>
      <c r="L326" s="197"/>
      <c r="M326" s="197"/>
      <c r="N326" s="198"/>
      <c r="O326" s="197"/>
      <c r="P326" s="197"/>
      <c r="Q326" s="198"/>
      <c r="R326" s="197"/>
    </row>
    <row r="327">
      <c r="A327" s="197"/>
      <c r="B327" s="197"/>
      <c r="C327" s="197"/>
      <c r="D327" s="197"/>
      <c r="E327" s="197"/>
      <c r="F327" s="214"/>
      <c r="G327" s="197"/>
      <c r="H327" s="198"/>
      <c r="I327" s="197"/>
      <c r="J327" s="197"/>
      <c r="K327" s="198"/>
      <c r="L327" s="197"/>
      <c r="M327" s="197"/>
      <c r="N327" s="198"/>
      <c r="O327" s="197"/>
      <c r="P327" s="197"/>
      <c r="Q327" s="198"/>
      <c r="R327" s="197"/>
    </row>
    <row r="328">
      <c r="A328" s="197"/>
      <c r="B328" s="197"/>
      <c r="C328" s="197"/>
      <c r="D328" s="197"/>
      <c r="E328" s="197"/>
      <c r="F328" s="214"/>
      <c r="G328" s="197"/>
      <c r="H328" s="198"/>
      <c r="I328" s="197"/>
      <c r="J328" s="197"/>
      <c r="K328" s="198"/>
      <c r="L328" s="197"/>
      <c r="M328" s="197"/>
      <c r="N328" s="198"/>
      <c r="O328" s="197"/>
      <c r="P328" s="197"/>
      <c r="Q328" s="198"/>
      <c r="R328" s="197"/>
    </row>
    <row r="329">
      <c r="A329" s="197"/>
      <c r="B329" s="197"/>
      <c r="C329" s="197"/>
      <c r="D329" s="197"/>
      <c r="E329" s="197"/>
      <c r="F329" s="214"/>
      <c r="G329" s="197"/>
      <c r="H329" s="198"/>
      <c r="I329" s="197"/>
      <c r="J329" s="197"/>
      <c r="K329" s="198"/>
      <c r="L329" s="197"/>
      <c r="M329" s="197"/>
      <c r="N329" s="198"/>
      <c r="O329" s="197"/>
      <c r="P329" s="197"/>
      <c r="Q329" s="198"/>
      <c r="R329" s="197"/>
    </row>
    <row r="330">
      <c r="A330" s="197"/>
      <c r="B330" s="197"/>
      <c r="C330" s="197"/>
      <c r="D330" s="197"/>
      <c r="E330" s="197"/>
      <c r="F330" s="214"/>
      <c r="G330" s="197"/>
      <c r="H330" s="198"/>
      <c r="I330" s="197"/>
      <c r="J330" s="197"/>
      <c r="K330" s="198"/>
      <c r="L330" s="197"/>
      <c r="M330" s="197"/>
      <c r="N330" s="198"/>
      <c r="O330" s="197"/>
      <c r="P330" s="197"/>
      <c r="Q330" s="198"/>
      <c r="R330" s="197"/>
    </row>
    <row r="331">
      <c r="A331" s="197"/>
      <c r="B331" s="197"/>
      <c r="C331" s="197"/>
      <c r="D331" s="197"/>
      <c r="E331" s="197"/>
      <c r="F331" s="214"/>
      <c r="G331" s="197"/>
      <c r="H331" s="198"/>
      <c r="I331" s="197"/>
      <c r="J331" s="197"/>
      <c r="K331" s="198"/>
      <c r="L331" s="197"/>
      <c r="M331" s="197"/>
      <c r="N331" s="198"/>
      <c r="O331" s="197"/>
      <c r="P331" s="197"/>
      <c r="Q331" s="198"/>
      <c r="R331" s="197"/>
    </row>
    <row r="332">
      <c r="A332" s="197"/>
      <c r="B332" s="197"/>
      <c r="C332" s="197"/>
      <c r="D332" s="197"/>
      <c r="E332" s="197"/>
      <c r="F332" s="214"/>
      <c r="G332" s="197"/>
      <c r="H332" s="198"/>
      <c r="I332" s="197"/>
      <c r="J332" s="197"/>
      <c r="K332" s="198"/>
      <c r="L332" s="197"/>
      <c r="M332" s="197"/>
      <c r="N332" s="198"/>
      <c r="O332" s="197"/>
      <c r="P332" s="197"/>
      <c r="Q332" s="198"/>
      <c r="R332" s="197"/>
    </row>
    <row r="333">
      <c r="A333" s="197"/>
      <c r="B333" s="197"/>
      <c r="C333" s="197"/>
      <c r="D333" s="197"/>
      <c r="E333" s="197"/>
      <c r="F333" s="214"/>
      <c r="G333" s="197"/>
      <c r="H333" s="198"/>
      <c r="I333" s="197"/>
      <c r="J333" s="197"/>
      <c r="K333" s="198"/>
      <c r="L333" s="197"/>
      <c r="M333" s="197"/>
      <c r="N333" s="198"/>
      <c r="O333" s="197"/>
      <c r="P333" s="197"/>
      <c r="Q333" s="198"/>
      <c r="R333" s="197"/>
    </row>
    <row r="334">
      <c r="A334" s="197"/>
      <c r="B334" s="197"/>
      <c r="C334" s="197"/>
      <c r="D334" s="197"/>
      <c r="E334" s="197"/>
      <c r="F334" s="214"/>
      <c r="G334" s="197"/>
      <c r="H334" s="198"/>
      <c r="I334" s="197"/>
      <c r="J334" s="197"/>
      <c r="K334" s="198"/>
      <c r="L334" s="197"/>
      <c r="M334" s="197"/>
      <c r="N334" s="198"/>
      <c r="O334" s="197"/>
      <c r="P334" s="197"/>
      <c r="Q334" s="198"/>
      <c r="R334" s="197"/>
    </row>
    <row r="335">
      <c r="A335" s="197"/>
      <c r="B335" s="197"/>
      <c r="C335" s="197"/>
      <c r="D335" s="197"/>
      <c r="E335" s="197"/>
      <c r="F335" s="214"/>
      <c r="G335" s="197"/>
      <c r="H335" s="198"/>
      <c r="I335" s="197"/>
      <c r="J335" s="197"/>
      <c r="K335" s="198"/>
      <c r="L335" s="197"/>
      <c r="M335" s="197"/>
      <c r="N335" s="198"/>
      <c r="O335" s="197"/>
      <c r="P335" s="197"/>
      <c r="Q335" s="198"/>
      <c r="R335" s="197"/>
    </row>
    <row r="336">
      <c r="A336" s="197"/>
      <c r="B336" s="197"/>
      <c r="C336" s="197"/>
      <c r="D336" s="197"/>
      <c r="E336" s="197"/>
      <c r="F336" s="214"/>
      <c r="G336" s="197"/>
      <c r="H336" s="198"/>
      <c r="I336" s="197"/>
      <c r="J336" s="197"/>
      <c r="K336" s="198"/>
      <c r="L336" s="197"/>
      <c r="M336" s="197"/>
      <c r="N336" s="198"/>
      <c r="O336" s="197"/>
      <c r="P336" s="197"/>
      <c r="Q336" s="198"/>
      <c r="R336" s="197"/>
    </row>
    <row r="337">
      <c r="A337" s="197"/>
      <c r="B337" s="197"/>
      <c r="C337" s="197"/>
      <c r="D337" s="197"/>
      <c r="E337" s="197"/>
      <c r="F337" s="214"/>
      <c r="G337" s="197"/>
      <c r="H337" s="198"/>
      <c r="I337" s="197"/>
      <c r="J337" s="197"/>
      <c r="K337" s="198"/>
      <c r="L337" s="197"/>
      <c r="M337" s="197"/>
      <c r="N337" s="198"/>
      <c r="O337" s="197"/>
      <c r="P337" s="197"/>
      <c r="Q337" s="198"/>
      <c r="R337" s="197"/>
    </row>
    <row r="338">
      <c r="A338" s="197"/>
      <c r="B338" s="197"/>
      <c r="C338" s="197"/>
      <c r="D338" s="197"/>
      <c r="E338" s="197"/>
      <c r="F338" s="214"/>
      <c r="G338" s="197"/>
      <c r="H338" s="198"/>
      <c r="I338" s="197"/>
      <c r="J338" s="197"/>
      <c r="K338" s="198"/>
      <c r="L338" s="197"/>
      <c r="M338" s="197"/>
      <c r="N338" s="198"/>
      <c r="O338" s="197"/>
      <c r="P338" s="197"/>
      <c r="Q338" s="198"/>
      <c r="R338" s="197"/>
    </row>
    <row r="339">
      <c r="A339" s="197"/>
      <c r="B339" s="197"/>
      <c r="C339" s="197"/>
      <c r="D339" s="197"/>
      <c r="E339" s="197"/>
      <c r="F339" s="214"/>
      <c r="G339" s="197"/>
      <c r="H339" s="198"/>
      <c r="I339" s="197"/>
      <c r="J339" s="197"/>
      <c r="K339" s="198"/>
      <c r="L339" s="197"/>
      <c r="M339" s="197"/>
      <c r="N339" s="198"/>
      <c r="O339" s="197"/>
      <c r="P339" s="197"/>
      <c r="Q339" s="198"/>
      <c r="R339" s="197"/>
    </row>
    <row r="340">
      <c r="A340" s="197"/>
      <c r="B340" s="197"/>
      <c r="C340" s="197"/>
      <c r="D340" s="197"/>
      <c r="E340" s="197"/>
      <c r="F340" s="214"/>
      <c r="G340" s="197"/>
      <c r="H340" s="198"/>
      <c r="I340" s="197"/>
      <c r="J340" s="197"/>
      <c r="K340" s="198"/>
      <c r="L340" s="197"/>
      <c r="M340" s="197"/>
      <c r="N340" s="198"/>
      <c r="O340" s="197"/>
      <c r="P340" s="197"/>
      <c r="Q340" s="198"/>
      <c r="R340" s="197"/>
    </row>
    <row r="341">
      <c r="A341" s="197"/>
      <c r="B341" s="197"/>
      <c r="C341" s="197"/>
      <c r="D341" s="197"/>
      <c r="E341" s="197"/>
      <c r="F341" s="214"/>
      <c r="G341" s="197"/>
      <c r="H341" s="198"/>
      <c r="I341" s="197"/>
      <c r="J341" s="197"/>
      <c r="K341" s="198"/>
      <c r="L341" s="197"/>
      <c r="M341" s="197"/>
      <c r="N341" s="198"/>
      <c r="O341" s="197"/>
      <c r="P341" s="197"/>
      <c r="Q341" s="198"/>
      <c r="R341" s="197"/>
    </row>
    <row r="342">
      <c r="A342" s="197"/>
      <c r="B342" s="197"/>
      <c r="C342" s="197"/>
      <c r="D342" s="197"/>
      <c r="E342" s="197"/>
      <c r="F342" s="214"/>
      <c r="G342" s="197"/>
      <c r="H342" s="198"/>
      <c r="I342" s="197"/>
      <c r="J342" s="197"/>
      <c r="K342" s="198"/>
      <c r="L342" s="197"/>
      <c r="M342" s="197"/>
      <c r="N342" s="198"/>
      <c r="O342" s="197"/>
      <c r="P342" s="197"/>
      <c r="Q342" s="198"/>
      <c r="R342" s="197"/>
    </row>
    <row r="343">
      <c r="A343" s="197"/>
      <c r="B343" s="197"/>
      <c r="C343" s="197"/>
      <c r="D343" s="197"/>
      <c r="E343" s="197"/>
      <c r="F343" s="214"/>
      <c r="G343" s="197"/>
      <c r="H343" s="198"/>
      <c r="I343" s="197"/>
      <c r="J343" s="197"/>
      <c r="K343" s="198"/>
      <c r="L343" s="197"/>
      <c r="M343" s="197"/>
      <c r="N343" s="198"/>
      <c r="O343" s="197"/>
      <c r="P343" s="197"/>
      <c r="Q343" s="198"/>
      <c r="R343" s="197"/>
    </row>
    <row r="344">
      <c r="A344" s="197"/>
      <c r="B344" s="197"/>
      <c r="C344" s="197"/>
      <c r="D344" s="197"/>
      <c r="E344" s="197"/>
      <c r="F344" s="214"/>
      <c r="G344" s="197"/>
      <c r="H344" s="198"/>
      <c r="I344" s="197"/>
      <c r="J344" s="197"/>
      <c r="K344" s="198"/>
      <c r="L344" s="197"/>
      <c r="M344" s="197"/>
      <c r="N344" s="198"/>
      <c r="O344" s="197"/>
      <c r="P344" s="197"/>
      <c r="Q344" s="198"/>
      <c r="R344" s="197"/>
    </row>
    <row r="345">
      <c r="A345" s="197"/>
      <c r="B345" s="197"/>
      <c r="C345" s="197"/>
      <c r="D345" s="197"/>
      <c r="E345" s="197"/>
      <c r="F345" s="214"/>
      <c r="G345" s="197"/>
      <c r="H345" s="198"/>
      <c r="I345" s="197"/>
      <c r="J345" s="197"/>
      <c r="K345" s="198"/>
      <c r="L345" s="197"/>
      <c r="M345" s="197"/>
      <c r="N345" s="198"/>
      <c r="O345" s="197"/>
      <c r="P345" s="197"/>
      <c r="Q345" s="198"/>
      <c r="R345" s="197"/>
    </row>
    <row r="346">
      <c r="A346" s="197"/>
      <c r="B346" s="197"/>
      <c r="C346" s="197"/>
      <c r="D346" s="197"/>
      <c r="E346" s="197"/>
      <c r="F346" s="214"/>
      <c r="G346" s="197"/>
      <c r="H346" s="198"/>
      <c r="I346" s="197"/>
      <c r="J346" s="197"/>
      <c r="K346" s="198"/>
      <c r="L346" s="197"/>
      <c r="M346" s="197"/>
      <c r="N346" s="198"/>
      <c r="O346" s="197"/>
      <c r="P346" s="197"/>
      <c r="Q346" s="198"/>
      <c r="R346" s="197"/>
    </row>
    <row r="347">
      <c r="A347" s="197"/>
      <c r="B347" s="197"/>
      <c r="C347" s="197"/>
      <c r="D347" s="197"/>
      <c r="E347" s="197"/>
      <c r="F347" s="214"/>
      <c r="G347" s="197"/>
      <c r="H347" s="198"/>
      <c r="I347" s="197"/>
      <c r="J347" s="197"/>
      <c r="K347" s="198"/>
      <c r="L347" s="197"/>
      <c r="M347" s="197"/>
      <c r="N347" s="198"/>
      <c r="O347" s="197"/>
      <c r="P347" s="197"/>
      <c r="Q347" s="198"/>
      <c r="R347" s="197"/>
    </row>
    <row r="348">
      <c r="A348" s="197"/>
      <c r="B348" s="197"/>
      <c r="C348" s="197"/>
      <c r="D348" s="197"/>
      <c r="E348" s="197"/>
      <c r="F348" s="214"/>
      <c r="G348" s="197"/>
      <c r="H348" s="198"/>
      <c r="I348" s="197"/>
      <c r="J348" s="197"/>
      <c r="K348" s="198"/>
      <c r="L348" s="197"/>
      <c r="M348" s="197"/>
      <c r="N348" s="198"/>
      <c r="O348" s="197"/>
      <c r="P348" s="197"/>
      <c r="Q348" s="198"/>
      <c r="R348" s="197"/>
    </row>
    <row r="349">
      <c r="A349" s="197"/>
      <c r="B349" s="197"/>
      <c r="C349" s="197"/>
      <c r="D349" s="197"/>
      <c r="E349" s="197"/>
      <c r="F349" s="214"/>
      <c r="G349" s="197"/>
      <c r="H349" s="198"/>
      <c r="I349" s="197"/>
      <c r="J349" s="197"/>
      <c r="K349" s="198"/>
      <c r="L349" s="197"/>
      <c r="M349" s="197"/>
      <c r="N349" s="198"/>
      <c r="O349" s="197"/>
      <c r="P349" s="197"/>
      <c r="Q349" s="198"/>
      <c r="R349" s="197"/>
    </row>
    <row r="350">
      <c r="A350" s="197"/>
      <c r="B350" s="197"/>
      <c r="C350" s="197"/>
      <c r="D350" s="197"/>
      <c r="E350" s="197"/>
      <c r="F350" s="214"/>
      <c r="G350" s="197"/>
      <c r="H350" s="198"/>
      <c r="I350" s="197"/>
      <c r="J350" s="197"/>
      <c r="K350" s="198"/>
      <c r="L350" s="197"/>
      <c r="M350" s="197"/>
      <c r="N350" s="198"/>
      <c r="O350" s="197"/>
      <c r="P350" s="197"/>
      <c r="Q350" s="198"/>
      <c r="R350" s="197"/>
    </row>
    <row r="351">
      <c r="A351" s="197"/>
      <c r="B351" s="197"/>
      <c r="C351" s="197"/>
      <c r="D351" s="197"/>
      <c r="E351" s="197"/>
      <c r="F351" s="214"/>
      <c r="G351" s="197"/>
      <c r="H351" s="198"/>
      <c r="I351" s="197"/>
      <c r="J351" s="197"/>
      <c r="K351" s="198"/>
      <c r="L351" s="197"/>
      <c r="M351" s="197"/>
      <c r="N351" s="198"/>
      <c r="O351" s="197"/>
      <c r="P351" s="197"/>
      <c r="Q351" s="198"/>
      <c r="R351" s="197"/>
    </row>
    <row r="352">
      <c r="A352" s="197"/>
      <c r="B352" s="197"/>
      <c r="C352" s="197"/>
      <c r="D352" s="197"/>
      <c r="E352" s="197"/>
      <c r="F352" s="214"/>
      <c r="G352" s="197"/>
      <c r="H352" s="198"/>
      <c r="I352" s="197"/>
      <c r="J352" s="197"/>
      <c r="K352" s="198"/>
      <c r="L352" s="197"/>
      <c r="M352" s="197"/>
      <c r="N352" s="198"/>
      <c r="O352" s="197"/>
      <c r="P352" s="197"/>
      <c r="Q352" s="198"/>
      <c r="R352" s="197"/>
    </row>
    <row r="353">
      <c r="A353" s="197"/>
      <c r="B353" s="197"/>
      <c r="C353" s="197"/>
      <c r="D353" s="197"/>
      <c r="E353" s="197"/>
      <c r="F353" s="214"/>
      <c r="G353" s="197"/>
      <c r="H353" s="198"/>
      <c r="I353" s="197"/>
      <c r="J353" s="197"/>
      <c r="K353" s="198"/>
      <c r="L353" s="197"/>
      <c r="M353" s="197"/>
      <c r="N353" s="198"/>
      <c r="O353" s="197"/>
      <c r="P353" s="197"/>
      <c r="Q353" s="198"/>
      <c r="R353" s="197"/>
    </row>
    <row r="354">
      <c r="A354" s="197"/>
      <c r="B354" s="197"/>
      <c r="C354" s="197"/>
      <c r="D354" s="197"/>
      <c r="E354" s="197"/>
      <c r="F354" s="214"/>
      <c r="G354" s="197"/>
      <c r="H354" s="198"/>
      <c r="I354" s="197"/>
      <c r="J354" s="197"/>
      <c r="K354" s="198"/>
      <c r="L354" s="197"/>
      <c r="M354" s="197"/>
      <c r="N354" s="198"/>
      <c r="O354" s="197"/>
      <c r="P354" s="197"/>
      <c r="Q354" s="198"/>
      <c r="R354" s="197"/>
    </row>
    <row r="355">
      <c r="A355" s="197"/>
      <c r="B355" s="197"/>
      <c r="C355" s="197"/>
      <c r="D355" s="197"/>
      <c r="E355" s="197"/>
      <c r="F355" s="214"/>
      <c r="G355" s="197"/>
      <c r="H355" s="198"/>
      <c r="I355" s="197"/>
      <c r="J355" s="197"/>
      <c r="K355" s="198"/>
      <c r="L355" s="197"/>
      <c r="M355" s="197"/>
      <c r="N355" s="198"/>
      <c r="O355" s="197"/>
      <c r="P355" s="197"/>
      <c r="Q355" s="198"/>
      <c r="R355" s="197"/>
    </row>
    <row r="356">
      <c r="A356" s="197"/>
      <c r="B356" s="197"/>
      <c r="C356" s="197"/>
      <c r="D356" s="197"/>
      <c r="E356" s="197"/>
      <c r="F356" s="214"/>
      <c r="G356" s="197"/>
      <c r="H356" s="198"/>
      <c r="I356" s="197"/>
      <c r="J356" s="197"/>
      <c r="K356" s="198"/>
      <c r="L356" s="197"/>
      <c r="M356" s="197"/>
      <c r="N356" s="198"/>
      <c r="O356" s="197"/>
      <c r="P356" s="197"/>
      <c r="Q356" s="198"/>
      <c r="R356" s="197"/>
    </row>
    <row r="357">
      <c r="A357" s="197"/>
      <c r="B357" s="197"/>
      <c r="C357" s="197"/>
      <c r="D357" s="197"/>
      <c r="E357" s="197"/>
      <c r="F357" s="214"/>
      <c r="G357" s="197"/>
      <c r="H357" s="198"/>
      <c r="I357" s="197"/>
      <c r="J357" s="197"/>
      <c r="K357" s="198"/>
      <c r="L357" s="197"/>
      <c r="M357" s="197"/>
      <c r="N357" s="198"/>
      <c r="O357" s="197"/>
      <c r="P357" s="197"/>
      <c r="Q357" s="198"/>
      <c r="R357" s="197"/>
    </row>
    <row r="358">
      <c r="A358" s="197"/>
      <c r="B358" s="197"/>
      <c r="C358" s="197"/>
      <c r="D358" s="197"/>
      <c r="E358" s="197"/>
      <c r="F358" s="214"/>
      <c r="G358" s="197"/>
      <c r="H358" s="198"/>
      <c r="I358" s="197"/>
      <c r="J358" s="197"/>
      <c r="K358" s="198"/>
      <c r="L358" s="197"/>
      <c r="M358" s="197"/>
      <c r="N358" s="198"/>
      <c r="O358" s="197"/>
      <c r="P358" s="197"/>
      <c r="Q358" s="198"/>
      <c r="R358" s="197"/>
    </row>
    <row r="359">
      <c r="A359" s="197"/>
      <c r="B359" s="197"/>
      <c r="C359" s="197"/>
      <c r="D359" s="197"/>
      <c r="E359" s="197"/>
      <c r="F359" s="214"/>
      <c r="G359" s="197"/>
      <c r="H359" s="198"/>
      <c r="I359" s="197"/>
      <c r="J359" s="197"/>
      <c r="K359" s="198"/>
      <c r="L359" s="197"/>
      <c r="M359" s="197"/>
      <c r="N359" s="198"/>
      <c r="O359" s="197"/>
      <c r="P359" s="197"/>
      <c r="Q359" s="198"/>
      <c r="R359" s="197"/>
    </row>
    <row r="360">
      <c r="A360" s="197"/>
      <c r="B360" s="197"/>
      <c r="C360" s="197"/>
      <c r="D360" s="197"/>
      <c r="E360" s="197"/>
      <c r="F360" s="214"/>
      <c r="G360" s="197"/>
      <c r="H360" s="198"/>
      <c r="I360" s="197"/>
      <c r="J360" s="197"/>
      <c r="K360" s="198"/>
      <c r="L360" s="197"/>
      <c r="M360" s="197"/>
      <c r="N360" s="198"/>
      <c r="O360" s="197"/>
      <c r="P360" s="197"/>
      <c r="Q360" s="198"/>
      <c r="R360" s="197"/>
    </row>
    <row r="361">
      <c r="A361" s="197"/>
      <c r="B361" s="197"/>
      <c r="C361" s="197"/>
      <c r="D361" s="197"/>
      <c r="E361" s="197"/>
      <c r="F361" s="214"/>
      <c r="G361" s="197"/>
      <c r="H361" s="198"/>
      <c r="I361" s="197"/>
      <c r="J361" s="197"/>
      <c r="K361" s="198"/>
      <c r="L361" s="197"/>
      <c r="M361" s="197"/>
      <c r="N361" s="198"/>
      <c r="O361" s="197"/>
      <c r="P361" s="197"/>
      <c r="Q361" s="198"/>
      <c r="R361" s="197"/>
    </row>
    <row r="362">
      <c r="A362" s="197"/>
      <c r="B362" s="197"/>
      <c r="C362" s="197"/>
      <c r="D362" s="197"/>
      <c r="E362" s="197"/>
      <c r="F362" s="214"/>
      <c r="G362" s="197"/>
      <c r="H362" s="198"/>
      <c r="I362" s="197"/>
      <c r="J362" s="197"/>
      <c r="K362" s="198"/>
      <c r="L362" s="197"/>
      <c r="M362" s="197"/>
      <c r="N362" s="198"/>
      <c r="O362" s="197"/>
      <c r="P362" s="197"/>
      <c r="Q362" s="198"/>
      <c r="R362" s="197"/>
    </row>
    <row r="363">
      <c r="A363" s="197"/>
      <c r="B363" s="197"/>
      <c r="C363" s="197"/>
      <c r="D363" s="197"/>
      <c r="E363" s="197"/>
      <c r="F363" s="214"/>
      <c r="G363" s="197"/>
      <c r="H363" s="198"/>
      <c r="I363" s="197"/>
      <c r="J363" s="197"/>
      <c r="K363" s="198"/>
      <c r="L363" s="197"/>
      <c r="M363" s="197"/>
      <c r="N363" s="198"/>
      <c r="O363" s="197"/>
      <c r="P363" s="197"/>
      <c r="Q363" s="198"/>
      <c r="R363" s="197"/>
    </row>
    <row r="364">
      <c r="A364" s="197"/>
      <c r="B364" s="197"/>
      <c r="C364" s="197"/>
      <c r="D364" s="197"/>
      <c r="E364" s="197"/>
      <c r="F364" s="214"/>
      <c r="G364" s="197"/>
      <c r="H364" s="198"/>
      <c r="I364" s="197"/>
      <c r="J364" s="197"/>
      <c r="K364" s="198"/>
      <c r="L364" s="197"/>
      <c r="M364" s="197"/>
      <c r="N364" s="198"/>
      <c r="O364" s="197"/>
      <c r="P364" s="197"/>
      <c r="Q364" s="198"/>
      <c r="R364" s="197"/>
    </row>
    <row r="365">
      <c r="A365" s="197"/>
      <c r="B365" s="197"/>
      <c r="C365" s="197"/>
      <c r="D365" s="197"/>
      <c r="E365" s="197"/>
      <c r="F365" s="214"/>
      <c r="G365" s="197"/>
      <c r="H365" s="198"/>
      <c r="I365" s="197"/>
      <c r="J365" s="197"/>
      <c r="K365" s="198"/>
      <c r="L365" s="197"/>
      <c r="M365" s="197"/>
      <c r="N365" s="198"/>
      <c r="O365" s="197"/>
      <c r="P365" s="197"/>
      <c r="Q365" s="198"/>
      <c r="R365" s="197"/>
    </row>
    <row r="366">
      <c r="A366" s="197"/>
      <c r="B366" s="197"/>
      <c r="C366" s="197"/>
      <c r="D366" s="197"/>
      <c r="E366" s="197"/>
      <c r="F366" s="214"/>
      <c r="G366" s="197"/>
      <c r="H366" s="198"/>
      <c r="I366" s="197"/>
      <c r="J366" s="197"/>
      <c r="K366" s="198"/>
      <c r="L366" s="197"/>
      <c r="M366" s="197"/>
      <c r="N366" s="198"/>
      <c r="O366" s="197"/>
      <c r="P366" s="197"/>
      <c r="Q366" s="198"/>
      <c r="R366" s="197"/>
    </row>
    <row r="367">
      <c r="A367" s="197"/>
      <c r="B367" s="197"/>
      <c r="C367" s="197"/>
      <c r="D367" s="197"/>
      <c r="E367" s="197"/>
      <c r="F367" s="214"/>
      <c r="G367" s="197"/>
      <c r="H367" s="198"/>
      <c r="I367" s="197"/>
      <c r="J367" s="197"/>
      <c r="K367" s="198"/>
      <c r="L367" s="197"/>
      <c r="M367" s="197"/>
      <c r="N367" s="198"/>
      <c r="O367" s="197"/>
      <c r="P367" s="197"/>
      <c r="Q367" s="198"/>
      <c r="R367" s="197"/>
    </row>
    <row r="368">
      <c r="A368" s="197"/>
      <c r="B368" s="197"/>
      <c r="C368" s="197"/>
      <c r="D368" s="197"/>
      <c r="E368" s="197"/>
      <c r="F368" s="214"/>
      <c r="G368" s="197"/>
      <c r="H368" s="198"/>
      <c r="I368" s="197"/>
      <c r="J368" s="197"/>
      <c r="K368" s="198"/>
      <c r="L368" s="197"/>
      <c r="M368" s="197"/>
      <c r="N368" s="198"/>
      <c r="O368" s="197"/>
      <c r="P368" s="197"/>
      <c r="Q368" s="198"/>
      <c r="R368" s="197"/>
    </row>
    <row r="369">
      <c r="A369" s="197"/>
      <c r="B369" s="197"/>
      <c r="C369" s="197"/>
      <c r="D369" s="197"/>
      <c r="E369" s="197"/>
      <c r="F369" s="214"/>
      <c r="G369" s="197"/>
      <c r="H369" s="198"/>
      <c r="I369" s="197"/>
      <c r="J369" s="197"/>
      <c r="K369" s="198"/>
      <c r="L369" s="197"/>
      <c r="M369" s="197"/>
      <c r="N369" s="198"/>
      <c r="O369" s="197"/>
      <c r="P369" s="197"/>
      <c r="Q369" s="198"/>
      <c r="R369" s="197"/>
    </row>
    <row r="370">
      <c r="A370" s="197"/>
      <c r="B370" s="197"/>
      <c r="C370" s="197"/>
      <c r="D370" s="197"/>
      <c r="E370" s="197"/>
      <c r="F370" s="214"/>
      <c r="G370" s="197"/>
      <c r="H370" s="198"/>
      <c r="I370" s="197"/>
      <c r="J370" s="197"/>
      <c r="K370" s="198"/>
      <c r="L370" s="197"/>
      <c r="M370" s="197"/>
      <c r="N370" s="198"/>
      <c r="O370" s="197"/>
      <c r="P370" s="197"/>
      <c r="Q370" s="198"/>
      <c r="R370" s="197"/>
    </row>
    <row r="371">
      <c r="A371" s="197"/>
      <c r="B371" s="197"/>
      <c r="C371" s="197"/>
      <c r="D371" s="197"/>
      <c r="E371" s="197"/>
      <c r="F371" s="214"/>
      <c r="G371" s="197"/>
      <c r="H371" s="198"/>
      <c r="I371" s="197"/>
      <c r="J371" s="197"/>
      <c r="K371" s="198"/>
      <c r="L371" s="197"/>
      <c r="M371" s="197"/>
      <c r="N371" s="198"/>
      <c r="O371" s="197"/>
      <c r="P371" s="197"/>
      <c r="Q371" s="198"/>
      <c r="R371" s="197"/>
    </row>
    <row r="372">
      <c r="A372" s="197"/>
      <c r="B372" s="197"/>
      <c r="C372" s="197"/>
      <c r="D372" s="197"/>
      <c r="E372" s="197"/>
      <c r="F372" s="214"/>
      <c r="G372" s="197"/>
      <c r="H372" s="198"/>
      <c r="I372" s="197"/>
      <c r="J372" s="197"/>
      <c r="K372" s="198"/>
      <c r="L372" s="197"/>
      <c r="M372" s="197"/>
      <c r="N372" s="198"/>
      <c r="O372" s="197"/>
      <c r="P372" s="197"/>
      <c r="Q372" s="198"/>
      <c r="R372" s="197"/>
    </row>
    <row r="373">
      <c r="A373" s="197"/>
      <c r="B373" s="197"/>
      <c r="C373" s="197"/>
      <c r="D373" s="197"/>
      <c r="E373" s="197"/>
      <c r="F373" s="214"/>
      <c r="G373" s="197"/>
      <c r="H373" s="198"/>
      <c r="I373" s="197"/>
      <c r="J373" s="197"/>
      <c r="K373" s="198"/>
      <c r="L373" s="197"/>
      <c r="M373" s="197"/>
      <c r="N373" s="198"/>
      <c r="O373" s="197"/>
      <c r="P373" s="197"/>
      <c r="Q373" s="198"/>
      <c r="R373" s="197"/>
    </row>
    <row r="374">
      <c r="A374" s="197"/>
      <c r="B374" s="197"/>
      <c r="C374" s="197"/>
      <c r="D374" s="197"/>
      <c r="E374" s="197"/>
      <c r="F374" s="214"/>
      <c r="G374" s="197"/>
      <c r="H374" s="198"/>
      <c r="I374" s="197"/>
      <c r="J374" s="197"/>
      <c r="K374" s="198"/>
      <c r="L374" s="197"/>
      <c r="M374" s="197"/>
      <c r="N374" s="198"/>
      <c r="O374" s="197"/>
      <c r="P374" s="197"/>
      <c r="Q374" s="198"/>
      <c r="R374" s="197"/>
    </row>
    <row r="375">
      <c r="A375" s="197"/>
      <c r="B375" s="197"/>
      <c r="C375" s="197"/>
      <c r="D375" s="197"/>
      <c r="E375" s="197"/>
      <c r="F375" s="214"/>
      <c r="G375" s="197"/>
      <c r="H375" s="198"/>
      <c r="I375" s="197"/>
      <c r="J375" s="197"/>
      <c r="K375" s="198"/>
      <c r="L375" s="197"/>
      <c r="M375" s="197"/>
      <c r="N375" s="198"/>
      <c r="O375" s="197"/>
      <c r="P375" s="197"/>
      <c r="Q375" s="198"/>
      <c r="R375" s="197"/>
    </row>
    <row r="376">
      <c r="A376" s="197"/>
      <c r="B376" s="197"/>
      <c r="C376" s="197"/>
      <c r="D376" s="197"/>
      <c r="E376" s="197"/>
      <c r="F376" s="214"/>
      <c r="G376" s="197"/>
      <c r="H376" s="198"/>
      <c r="I376" s="197"/>
      <c r="J376" s="197"/>
      <c r="K376" s="198"/>
      <c r="L376" s="197"/>
      <c r="M376" s="197"/>
      <c r="N376" s="198"/>
      <c r="O376" s="197"/>
      <c r="P376" s="197"/>
      <c r="Q376" s="198"/>
      <c r="R376" s="197"/>
    </row>
    <row r="377">
      <c r="A377" s="197"/>
      <c r="B377" s="197"/>
      <c r="C377" s="197"/>
      <c r="D377" s="197"/>
      <c r="E377" s="197"/>
      <c r="F377" s="214"/>
      <c r="G377" s="197"/>
      <c r="H377" s="198"/>
      <c r="I377" s="197"/>
      <c r="J377" s="197"/>
      <c r="K377" s="198"/>
      <c r="L377" s="197"/>
      <c r="M377" s="197"/>
      <c r="N377" s="198"/>
      <c r="O377" s="197"/>
      <c r="P377" s="197"/>
      <c r="Q377" s="198"/>
      <c r="R377" s="197"/>
    </row>
    <row r="378">
      <c r="A378" s="197"/>
      <c r="B378" s="197"/>
      <c r="C378" s="197"/>
      <c r="D378" s="197"/>
      <c r="E378" s="197"/>
      <c r="F378" s="214"/>
      <c r="G378" s="197"/>
      <c r="H378" s="198"/>
      <c r="I378" s="197"/>
      <c r="J378" s="197"/>
      <c r="K378" s="198"/>
      <c r="L378" s="197"/>
      <c r="M378" s="197"/>
      <c r="N378" s="198"/>
      <c r="O378" s="197"/>
      <c r="P378" s="197"/>
      <c r="Q378" s="198"/>
      <c r="R378" s="197"/>
    </row>
    <row r="379">
      <c r="A379" s="197"/>
      <c r="B379" s="197"/>
      <c r="C379" s="197"/>
      <c r="D379" s="197"/>
      <c r="E379" s="197"/>
      <c r="F379" s="214"/>
      <c r="G379" s="197"/>
      <c r="H379" s="198"/>
      <c r="I379" s="197"/>
      <c r="J379" s="197"/>
      <c r="K379" s="198"/>
      <c r="L379" s="197"/>
      <c r="M379" s="197"/>
      <c r="N379" s="198"/>
      <c r="O379" s="197"/>
      <c r="P379" s="197"/>
      <c r="Q379" s="198"/>
      <c r="R379" s="197"/>
    </row>
    <row r="380">
      <c r="A380" s="197"/>
      <c r="B380" s="197"/>
      <c r="C380" s="197"/>
      <c r="D380" s="197"/>
      <c r="E380" s="197"/>
      <c r="F380" s="214"/>
      <c r="G380" s="197"/>
      <c r="H380" s="198"/>
      <c r="I380" s="197"/>
      <c r="J380" s="197"/>
      <c r="K380" s="198"/>
      <c r="L380" s="197"/>
      <c r="M380" s="197"/>
      <c r="N380" s="198"/>
      <c r="O380" s="197"/>
      <c r="P380" s="197"/>
      <c r="Q380" s="198"/>
      <c r="R380" s="197"/>
    </row>
    <row r="381">
      <c r="A381" s="197"/>
      <c r="B381" s="197"/>
      <c r="C381" s="197"/>
      <c r="D381" s="197"/>
      <c r="E381" s="197"/>
      <c r="F381" s="214"/>
      <c r="G381" s="197"/>
      <c r="H381" s="198"/>
      <c r="I381" s="197"/>
      <c r="J381" s="197"/>
      <c r="K381" s="198"/>
      <c r="L381" s="197"/>
      <c r="M381" s="197"/>
      <c r="N381" s="198"/>
      <c r="O381" s="197"/>
      <c r="P381" s="197"/>
      <c r="Q381" s="198"/>
      <c r="R381" s="197"/>
    </row>
    <row r="382">
      <c r="A382" s="197"/>
      <c r="B382" s="197"/>
      <c r="C382" s="197"/>
      <c r="D382" s="197"/>
      <c r="E382" s="197"/>
      <c r="F382" s="214"/>
      <c r="G382" s="197"/>
      <c r="H382" s="198"/>
      <c r="I382" s="197"/>
      <c r="J382" s="197"/>
      <c r="K382" s="198"/>
      <c r="L382" s="197"/>
      <c r="M382" s="197"/>
      <c r="N382" s="198"/>
      <c r="O382" s="197"/>
      <c r="P382" s="197"/>
      <c r="Q382" s="198"/>
      <c r="R382" s="197"/>
    </row>
    <row r="383">
      <c r="A383" s="197"/>
      <c r="B383" s="197"/>
      <c r="C383" s="197"/>
      <c r="D383" s="197"/>
      <c r="E383" s="197"/>
      <c r="F383" s="214"/>
      <c r="G383" s="197"/>
      <c r="H383" s="198"/>
      <c r="I383" s="197"/>
      <c r="J383" s="197"/>
      <c r="K383" s="198"/>
      <c r="L383" s="197"/>
      <c r="M383" s="197"/>
      <c r="N383" s="198"/>
      <c r="O383" s="197"/>
      <c r="P383" s="197"/>
      <c r="Q383" s="198"/>
      <c r="R383" s="197"/>
    </row>
    <row r="384">
      <c r="A384" s="197"/>
      <c r="B384" s="197"/>
      <c r="C384" s="197"/>
      <c r="D384" s="197"/>
      <c r="E384" s="197"/>
      <c r="F384" s="214"/>
      <c r="G384" s="197"/>
      <c r="H384" s="198"/>
      <c r="I384" s="197"/>
      <c r="J384" s="197"/>
      <c r="K384" s="198"/>
      <c r="L384" s="197"/>
      <c r="M384" s="197"/>
      <c r="N384" s="198"/>
      <c r="O384" s="197"/>
      <c r="P384" s="197"/>
      <c r="Q384" s="198"/>
      <c r="R384" s="197"/>
    </row>
    <row r="385">
      <c r="A385" s="197"/>
      <c r="B385" s="197"/>
      <c r="C385" s="197"/>
      <c r="D385" s="197"/>
      <c r="E385" s="197"/>
      <c r="F385" s="214"/>
      <c r="G385" s="197"/>
      <c r="H385" s="198"/>
      <c r="I385" s="197"/>
      <c r="J385" s="197"/>
      <c r="K385" s="198"/>
      <c r="L385" s="197"/>
      <c r="M385" s="197"/>
      <c r="N385" s="198"/>
      <c r="O385" s="197"/>
      <c r="P385" s="197"/>
      <c r="Q385" s="198"/>
      <c r="R385" s="197"/>
    </row>
    <row r="386">
      <c r="A386" s="197"/>
      <c r="B386" s="197"/>
      <c r="C386" s="197"/>
      <c r="D386" s="197"/>
      <c r="E386" s="197"/>
      <c r="F386" s="214"/>
      <c r="G386" s="197"/>
      <c r="H386" s="198"/>
      <c r="I386" s="197"/>
      <c r="J386" s="197"/>
      <c r="K386" s="198"/>
      <c r="L386" s="197"/>
      <c r="M386" s="197"/>
      <c r="N386" s="198"/>
      <c r="O386" s="197"/>
      <c r="P386" s="197"/>
      <c r="Q386" s="198"/>
      <c r="R386" s="197"/>
    </row>
    <row r="387">
      <c r="A387" s="197"/>
      <c r="B387" s="197"/>
      <c r="C387" s="197"/>
      <c r="D387" s="197"/>
      <c r="E387" s="197"/>
      <c r="F387" s="214"/>
      <c r="G387" s="197"/>
      <c r="H387" s="198"/>
      <c r="I387" s="197"/>
      <c r="J387" s="197"/>
      <c r="K387" s="198"/>
      <c r="L387" s="197"/>
      <c r="M387" s="197"/>
      <c r="N387" s="198"/>
      <c r="O387" s="197"/>
      <c r="P387" s="197"/>
      <c r="Q387" s="198"/>
      <c r="R387" s="197"/>
    </row>
    <row r="388">
      <c r="A388" s="197"/>
      <c r="B388" s="197"/>
      <c r="C388" s="197"/>
      <c r="D388" s="197"/>
      <c r="E388" s="197"/>
      <c r="F388" s="214"/>
      <c r="G388" s="197"/>
      <c r="H388" s="198"/>
      <c r="I388" s="197"/>
      <c r="J388" s="197"/>
      <c r="K388" s="198"/>
      <c r="L388" s="197"/>
      <c r="M388" s="197"/>
      <c r="N388" s="198"/>
      <c r="O388" s="197"/>
      <c r="P388" s="197"/>
      <c r="Q388" s="198"/>
      <c r="R388" s="197"/>
    </row>
    <row r="389">
      <c r="A389" s="197"/>
      <c r="B389" s="197"/>
      <c r="C389" s="197"/>
      <c r="D389" s="197"/>
      <c r="E389" s="197"/>
      <c r="F389" s="214"/>
      <c r="G389" s="197"/>
      <c r="H389" s="198"/>
      <c r="I389" s="197"/>
      <c r="J389" s="197"/>
      <c r="K389" s="198"/>
      <c r="L389" s="197"/>
      <c r="M389" s="197"/>
      <c r="N389" s="198"/>
      <c r="O389" s="197"/>
      <c r="P389" s="197"/>
      <c r="Q389" s="198"/>
      <c r="R389" s="197"/>
    </row>
    <row r="390">
      <c r="A390" s="197"/>
      <c r="B390" s="197"/>
      <c r="C390" s="197"/>
      <c r="D390" s="197"/>
      <c r="E390" s="197"/>
      <c r="F390" s="214"/>
      <c r="G390" s="197"/>
      <c r="H390" s="198"/>
      <c r="I390" s="197"/>
      <c r="J390" s="197"/>
      <c r="K390" s="198"/>
      <c r="L390" s="197"/>
      <c r="M390" s="197"/>
      <c r="N390" s="198"/>
      <c r="O390" s="197"/>
      <c r="P390" s="197"/>
      <c r="Q390" s="198"/>
      <c r="R390" s="197"/>
    </row>
    <row r="391">
      <c r="A391" s="197"/>
      <c r="B391" s="197"/>
      <c r="C391" s="197"/>
      <c r="D391" s="197"/>
      <c r="E391" s="197"/>
      <c r="F391" s="214"/>
      <c r="G391" s="197"/>
      <c r="H391" s="198"/>
      <c r="I391" s="197"/>
      <c r="J391" s="197"/>
      <c r="K391" s="198"/>
      <c r="L391" s="197"/>
      <c r="M391" s="197"/>
      <c r="N391" s="198"/>
      <c r="O391" s="197"/>
      <c r="P391" s="197"/>
      <c r="Q391" s="198"/>
      <c r="R391" s="197"/>
    </row>
    <row r="392">
      <c r="A392" s="197"/>
      <c r="B392" s="197"/>
      <c r="C392" s="197"/>
      <c r="D392" s="197"/>
      <c r="E392" s="197"/>
      <c r="F392" s="214"/>
      <c r="G392" s="197"/>
      <c r="H392" s="198"/>
      <c r="I392" s="197"/>
      <c r="J392" s="197"/>
      <c r="K392" s="198"/>
      <c r="L392" s="197"/>
      <c r="M392" s="197"/>
      <c r="N392" s="198"/>
      <c r="O392" s="197"/>
      <c r="P392" s="197"/>
      <c r="Q392" s="198"/>
      <c r="R392" s="197"/>
    </row>
    <row r="393">
      <c r="A393" s="197"/>
      <c r="B393" s="197"/>
      <c r="C393" s="197"/>
      <c r="D393" s="197"/>
      <c r="E393" s="197"/>
      <c r="F393" s="214"/>
      <c r="G393" s="197"/>
      <c r="H393" s="198"/>
      <c r="I393" s="197"/>
      <c r="J393" s="197"/>
      <c r="K393" s="198"/>
      <c r="L393" s="197"/>
      <c r="M393" s="197"/>
      <c r="N393" s="198"/>
      <c r="O393" s="197"/>
      <c r="P393" s="197"/>
      <c r="Q393" s="198"/>
      <c r="R393" s="197"/>
    </row>
    <row r="394">
      <c r="A394" s="197"/>
      <c r="B394" s="197"/>
      <c r="C394" s="197"/>
      <c r="D394" s="197"/>
      <c r="E394" s="197"/>
      <c r="F394" s="214"/>
      <c r="G394" s="197"/>
      <c r="H394" s="198"/>
      <c r="I394" s="197"/>
      <c r="J394" s="197"/>
      <c r="K394" s="198"/>
      <c r="L394" s="197"/>
      <c r="M394" s="197"/>
      <c r="N394" s="198"/>
      <c r="O394" s="197"/>
      <c r="P394" s="197"/>
      <c r="Q394" s="198"/>
      <c r="R394" s="197"/>
    </row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5">
    <mergeCell ref="A1:E1"/>
    <mergeCell ref="A2:E2"/>
    <mergeCell ref="A3:E3"/>
    <mergeCell ref="G3:K3"/>
    <mergeCell ref="M3:Q3"/>
  </mergeCells>
  <printOptions/>
  <pageMargins bottom="0.75" footer="0.0" header="0.0" left="0.7" right="0.7" top="0.75"/>
  <pageSetup fitToHeight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8.88"/>
    <col customWidth="1" min="2" max="4" width="12.88"/>
    <col customWidth="1" hidden="1" min="5" max="5" width="13.13"/>
    <col customWidth="1" min="6" max="6" width="13.13"/>
    <col customWidth="1" hidden="1" min="7" max="7" width="4.75"/>
    <col customWidth="1" hidden="1" min="8" max="8" width="15.5"/>
    <col customWidth="1" hidden="1" min="9" max="9" width="11.0"/>
    <col customWidth="1" hidden="1" min="10" max="10" width="11.13"/>
    <col customWidth="1" hidden="1" min="11" max="11" width="7.63"/>
    <col customWidth="1" min="12" max="12" width="7.63"/>
    <col customWidth="1" min="13" max="13" width="11.38"/>
    <col customWidth="1" min="14" max="17" width="7.63"/>
    <col customWidth="1" hidden="1" min="18" max="18" width="10.0"/>
    <col customWidth="1" hidden="1" min="19" max="19" width="13.88"/>
    <col customWidth="1" hidden="1" min="20" max="22" width="7.63"/>
    <col customWidth="1" min="23" max="26" width="7.63"/>
  </cols>
  <sheetData>
    <row r="1">
      <c r="A1" s="62" t="s">
        <v>134</v>
      </c>
    </row>
    <row r="2">
      <c r="A2" s="62" t="s">
        <v>446</v>
      </c>
    </row>
    <row r="3">
      <c r="A3" s="64" t="s">
        <v>447</v>
      </c>
    </row>
    <row r="4">
      <c r="A4" s="280"/>
      <c r="B4" s="281"/>
      <c r="C4" s="41"/>
      <c r="D4" s="281"/>
      <c r="E4" s="281"/>
      <c r="F4" s="281"/>
    </row>
    <row r="5">
      <c r="A5" s="282"/>
      <c r="B5" s="283" t="s">
        <v>256</v>
      </c>
      <c r="C5" s="283" t="s">
        <v>257</v>
      </c>
      <c r="D5" s="283" t="s">
        <v>258</v>
      </c>
      <c r="E5" s="283" t="s">
        <v>448</v>
      </c>
      <c r="F5" s="283" t="s">
        <v>137</v>
      </c>
      <c r="H5" s="284">
        <v>45108.0</v>
      </c>
      <c r="I5" s="285" t="s">
        <v>449</v>
      </c>
    </row>
    <row r="6">
      <c r="A6" s="286" t="s">
        <v>450</v>
      </c>
      <c r="B6" s="287"/>
      <c r="C6" s="287"/>
      <c r="D6" s="287"/>
      <c r="E6" s="287"/>
      <c r="F6" s="287"/>
    </row>
    <row r="7">
      <c r="A7" s="286" t="s">
        <v>451</v>
      </c>
      <c r="B7" s="287"/>
      <c r="C7" s="287"/>
      <c r="D7" s="287"/>
      <c r="E7" s="287"/>
      <c r="F7" s="287"/>
    </row>
    <row r="8">
      <c r="A8" s="286" t="s">
        <v>452</v>
      </c>
      <c r="B8" s="287"/>
      <c r="C8" s="287"/>
      <c r="D8" s="287"/>
      <c r="E8" s="287"/>
      <c r="F8" s="287"/>
    </row>
    <row r="9">
      <c r="A9" s="288" t="s">
        <v>453</v>
      </c>
      <c r="B9" s="289">
        <v>912214.78</v>
      </c>
      <c r="C9" s="290"/>
      <c r="D9" s="287"/>
      <c r="E9" s="287"/>
      <c r="F9" s="291">
        <f t="shared" ref="F9:F10" si="1">(((B9)+(C9))+(D9))+(E9)</f>
        <v>912214.78</v>
      </c>
      <c r="H9" s="41">
        <v>1948225.84</v>
      </c>
      <c r="I9" s="292">
        <f t="shared" ref="I9:I14" si="2">F9-H9</f>
        <v>-1036011.06</v>
      </c>
    </row>
    <row r="10">
      <c r="A10" s="286" t="s">
        <v>454</v>
      </c>
      <c r="B10" s="290">
        <v>0.0</v>
      </c>
      <c r="C10" s="287"/>
      <c r="D10" s="287"/>
      <c r="E10" s="291">
        <f>0</f>
        <v>0</v>
      </c>
      <c r="F10" s="291">
        <f t="shared" si="1"/>
        <v>0</v>
      </c>
      <c r="I10" s="292">
        <f t="shared" si="2"/>
        <v>0</v>
      </c>
    </row>
    <row r="11">
      <c r="A11" s="286" t="s">
        <v>455</v>
      </c>
      <c r="B11" s="290">
        <v>0.0</v>
      </c>
      <c r="C11" s="287"/>
      <c r="D11" s="287"/>
      <c r="E11" s="287"/>
      <c r="F11" s="291">
        <f t="shared" ref="F11:F12" si="3">SUM(B11:D11)</f>
        <v>0</v>
      </c>
      <c r="I11" s="292">
        <f t="shared" si="2"/>
        <v>0</v>
      </c>
    </row>
    <row r="12">
      <c r="A12" s="286" t="s">
        <v>456</v>
      </c>
      <c r="B12" s="290">
        <v>4328.12</v>
      </c>
      <c r="C12" s="287"/>
      <c r="D12" s="290"/>
      <c r="E12" s="287"/>
      <c r="F12" s="291">
        <f t="shared" si="3"/>
        <v>4328.12</v>
      </c>
      <c r="H12" s="41">
        <v>4328.12</v>
      </c>
      <c r="I12" s="292">
        <f t="shared" si="2"/>
        <v>0</v>
      </c>
    </row>
    <row r="13">
      <c r="A13" s="286" t="s">
        <v>457</v>
      </c>
      <c r="B13" s="290">
        <v>0.0</v>
      </c>
      <c r="C13" s="290"/>
      <c r="D13" s="291"/>
      <c r="E13" s="291">
        <f>0</f>
        <v>0</v>
      </c>
      <c r="F13" s="291">
        <f t="shared" ref="F13:F14" si="4">(((B13)+(C13))+(D13))+(E13)</f>
        <v>0</v>
      </c>
      <c r="I13" s="292">
        <f t="shared" si="2"/>
        <v>0</v>
      </c>
    </row>
    <row r="14">
      <c r="A14" s="286" t="s">
        <v>458</v>
      </c>
      <c r="B14" s="290">
        <v>0.0</v>
      </c>
      <c r="C14" s="293"/>
      <c r="D14" s="293"/>
      <c r="E14" s="291"/>
      <c r="F14" s="291">
        <f t="shared" si="4"/>
        <v>0</v>
      </c>
      <c r="I14" s="292">
        <f t="shared" si="2"/>
        <v>0</v>
      </c>
    </row>
    <row r="15">
      <c r="A15" s="286" t="s">
        <v>459</v>
      </c>
      <c r="B15" s="294">
        <f t="shared" ref="B15:F15" si="5">SUM(B9:B14)</f>
        <v>916542.9</v>
      </c>
      <c r="C15" s="294">
        <f t="shared" si="5"/>
        <v>0</v>
      </c>
      <c r="D15" s="294">
        <f t="shared" si="5"/>
        <v>0</v>
      </c>
      <c r="E15" s="294">
        <f t="shared" si="5"/>
        <v>0</v>
      </c>
      <c r="F15" s="294">
        <f t="shared" si="5"/>
        <v>916542.9</v>
      </c>
      <c r="I15" s="292">
        <f>SUM(I9:I12)</f>
        <v>-1036011.06</v>
      </c>
      <c r="J15" s="41" t="s">
        <v>460</v>
      </c>
    </row>
    <row r="16">
      <c r="A16" s="286" t="s">
        <v>461</v>
      </c>
      <c r="B16" s="287"/>
      <c r="C16" s="287"/>
      <c r="D16" s="287"/>
      <c r="E16" s="287"/>
      <c r="F16" s="287"/>
    </row>
    <row r="17">
      <c r="A17" s="286" t="s">
        <v>462</v>
      </c>
      <c r="B17" s="290">
        <v>19.98</v>
      </c>
      <c r="C17" s="290">
        <v>0.0</v>
      </c>
      <c r="D17" s="291"/>
      <c r="E17" s="291">
        <f>0</f>
        <v>0</v>
      </c>
      <c r="F17" s="291">
        <f t="shared" ref="F17:F18" si="7">(((B17)+(C17))+(D17))+(E17)</f>
        <v>19.98</v>
      </c>
      <c r="H17" s="41">
        <v>19.98</v>
      </c>
      <c r="I17" s="292">
        <f>H17-F17</f>
        <v>0</v>
      </c>
    </row>
    <row r="18">
      <c r="A18" s="286" t="s">
        <v>463</v>
      </c>
      <c r="B18" s="294">
        <f t="shared" ref="B18:E18" si="6">B17</f>
        <v>19.98</v>
      </c>
      <c r="C18" s="294">
        <f t="shared" si="6"/>
        <v>0</v>
      </c>
      <c r="D18" s="294" t="str">
        <f t="shared" si="6"/>
        <v/>
      </c>
      <c r="E18" s="294">
        <f t="shared" si="6"/>
        <v>0</v>
      </c>
      <c r="F18" s="294">
        <f t="shared" si="7"/>
        <v>19.98</v>
      </c>
    </row>
    <row r="19">
      <c r="A19" s="286" t="s">
        <v>464</v>
      </c>
      <c r="B19" s="287"/>
      <c r="C19" s="287"/>
      <c r="D19" s="287"/>
      <c r="E19" s="287"/>
      <c r="F19" s="287"/>
    </row>
    <row r="20">
      <c r="A20" s="286" t="s">
        <v>465</v>
      </c>
      <c r="B20" s="290">
        <v>0.0</v>
      </c>
      <c r="C20" s="291"/>
      <c r="D20" s="291"/>
      <c r="E20" s="291"/>
      <c r="F20" s="291">
        <f t="shared" ref="F20:F22" si="9">(((B20)+(C20))+(D20))+(E20)</f>
        <v>0</v>
      </c>
    </row>
    <row r="21">
      <c r="A21" s="286" t="s">
        <v>466</v>
      </c>
      <c r="B21" s="294">
        <f t="shared" ref="B21:E21" si="8">B20</f>
        <v>0</v>
      </c>
      <c r="C21" s="294" t="str">
        <f t="shared" si="8"/>
        <v/>
      </c>
      <c r="D21" s="294" t="str">
        <f t="shared" si="8"/>
        <v/>
      </c>
      <c r="E21" s="294" t="str">
        <f t="shared" si="8"/>
        <v/>
      </c>
      <c r="F21" s="294">
        <f t="shared" si="9"/>
        <v>0</v>
      </c>
    </row>
    <row r="22">
      <c r="A22" s="286" t="s">
        <v>467</v>
      </c>
      <c r="B22" s="294">
        <f t="shared" ref="B22:E22" si="10">((B15)+(B18))+(B21)</f>
        <v>916562.88</v>
      </c>
      <c r="C22" s="294">
        <f t="shared" si="10"/>
        <v>0</v>
      </c>
      <c r="D22" s="294">
        <f t="shared" si="10"/>
        <v>0</v>
      </c>
      <c r="E22" s="294">
        <f t="shared" si="10"/>
        <v>0</v>
      </c>
      <c r="F22" s="294">
        <f t="shared" si="9"/>
        <v>916562.88</v>
      </c>
    </row>
    <row r="23">
      <c r="A23" s="288" t="s">
        <v>468</v>
      </c>
      <c r="B23" s="287"/>
      <c r="C23" s="287"/>
      <c r="D23" s="287"/>
      <c r="E23" s="287"/>
      <c r="F23" s="287"/>
    </row>
    <row r="24">
      <c r="A24" s="288" t="s">
        <v>469</v>
      </c>
      <c r="B24" s="290">
        <v>3500.0</v>
      </c>
      <c r="C24" s="290">
        <v>0.0</v>
      </c>
      <c r="D24" s="291"/>
      <c r="E24" s="291">
        <f>0</f>
        <v>0</v>
      </c>
      <c r="F24" s="291">
        <f t="shared" ref="F24:F25" si="12">(((B24)+(C24))+(D24))+(E24)</f>
        <v>3500</v>
      </c>
      <c r="H24" s="41">
        <v>3500.0</v>
      </c>
      <c r="I24" s="292">
        <f>H24-F24</f>
        <v>0</v>
      </c>
    </row>
    <row r="25">
      <c r="A25" s="288" t="s">
        <v>470</v>
      </c>
      <c r="B25" s="294">
        <f t="shared" ref="B25:E25" si="11">B24</f>
        <v>3500</v>
      </c>
      <c r="C25" s="294">
        <f t="shared" si="11"/>
        <v>0</v>
      </c>
      <c r="D25" s="294" t="str">
        <f t="shared" si="11"/>
        <v/>
      </c>
      <c r="E25" s="294">
        <f t="shared" si="11"/>
        <v>0</v>
      </c>
      <c r="F25" s="294">
        <f t="shared" si="12"/>
        <v>3500</v>
      </c>
    </row>
    <row r="26">
      <c r="A26" s="286" t="s">
        <v>471</v>
      </c>
      <c r="B26" s="287"/>
      <c r="C26" s="287"/>
      <c r="D26" s="287"/>
      <c r="E26" s="287"/>
      <c r="F26" s="287"/>
      <c r="K26" s="39">
        <f>sum(B48/B32)</f>
        <v>0.027801937</v>
      </c>
    </row>
    <row r="27">
      <c r="A27" s="288" t="s">
        <v>472</v>
      </c>
      <c r="B27" s="295">
        <v>1319202.28</v>
      </c>
      <c r="C27" s="296"/>
      <c r="D27" s="296"/>
      <c r="E27" s="296"/>
      <c r="F27" s="296">
        <f t="shared" ref="F27:F30" si="13">(((B27)+(C27))+(D27))+(E27)</f>
        <v>1319202.28</v>
      </c>
      <c r="H27" s="297">
        <v>1319202.28</v>
      </c>
      <c r="I27" s="298">
        <f t="shared" ref="I27:I29" si="14">F27-H27</f>
        <v>0</v>
      </c>
    </row>
    <row r="28">
      <c r="A28" s="288" t="s">
        <v>473</v>
      </c>
      <c r="B28" s="295">
        <v>47552.18</v>
      </c>
      <c r="C28" s="296"/>
      <c r="D28" s="296"/>
      <c r="E28" s="296"/>
      <c r="F28" s="296">
        <f t="shared" si="13"/>
        <v>47552.18</v>
      </c>
      <c r="H28" s="297">
        <v>47552.18</v>
      </c>
      <c r="I28" s="298">
        <f t="shared" si="14"/>
        <v>0</v>
      </c>
    </row>
    <row r="29">
      <c r="A29" s="288" t="s">
        <v>474</v>
      </c>
      <c r="B29" s="295">
        <v>91019.5</v>
      </c>
      <c r="C29" s="296"/>
      <c r="D29" s="296"/>
      <c r="E29" s="296"/>
      <c r="F29" s="296">
        <f t="shared" si="13"/>
        <v>91019.5</v>
      </c>
      <c r="H29" s="297">
        <v>91019.5</v>
      </c>
      <c r="I29" s="298">
        <f t="shared" si="14"/>
        <v>0</v>
      </c>
    </row>
    <row r="30">
      <c r="A30" s="288" t="s">
        <v>475</v>
      </c>
      <c r="B30" s="295">
        <v>-301760.63</v>
      </c>
      <c r="C30" s="296"/>
      <c r="D30" s="296"/>
      <c r="E30" s="296"/>
      <c r="F30" s="296">
        <f t="shared" si="13"/>
        <v>-301760.63</v>
      </c>
    </row>
    <row r="31">
      <c r="A31" s="286" t="s">
        <v>476</v>
      </c>
      <c r="B31" s="294">
        <f t="shared" ref="B31:F31" si="15">SUM(B27:B30)</f>
        <v>1156013.33</v>
      </c>
      <c r="C31" s="294">
        <f t="shared" si="15"/>
        <v>0</v>
      </c>
      <c r="D31" s="294">
        <f t="shared" si="15"/>
        <v>0</v>
      </c>
      <c r="E31" s="294">
        <f t="shared" si="15"/>
        <v>0</v>
      </c>
      <c r="F31" s="294">
        <f t="shared" si="15"/>
        <v>1156013.33</v>
      </c>
    </row>
    <row r="32">
      <c r="A32" s="286" t="s">
        <v>477</v>
      </c>
      <c r="B32" s="294">
        <f t="shared" ref="B32:F32" si="16">(B22)+(B25)+(B31)</f>
        <v>2076076.21</v>
      </c>
      <c r="C32" s="294">
        <f t="shared" si="16"/>
        <v>0</v>
      </c>
      <c r="D32" s="294">
        <f t="shared" si="16"/>
        <v>0</v>
      </c>
      <c r="E32" s="294">
        <f t="shared" si="16"/>
        <v>0</v>
      </c>
      <c r="F32" s="294">
        <f t="shared" si="16"/>
        <v>2076076.21</v>
      </c>
    </row>
    <row r="33">
      <c r="A33" s="286" t="s">
        <v>478</v>
      </c>
      <c r="B33" s="287"/>
      <c r="C33" s="287"/>
      <c r="D33" s="287"/>
      <c r="E33" s="287"/>
      <c r="F33" s="287"/>
    </row>
    <row r="34">
      <c r="A34" s="286" t="s">
        <v>479</v>
      </c>
      <c r="B34" s="287"/>
      <c r="C34" s="287"/>
      <c r="D34" s="287"/>
      <c r="E34" s="287"/>
      <c r="F34" s="287"/>
    </row>
    <row r="35">
      <c r="A35" s="286" t="s">
        <v>480</v>
      </c>
      <c r="B35" s="287"/>
      <c r="C35" s="287"/>
      <c r="D35" s="287"/>
      <c r="E35" s="287"/>
      <c r="F35" s="287"/>
    </row>
    <row r="36">
      <c r="A36" s="286" t="s">
        <v>481</v>
      </c>
      <c r="B36" s="287"/>
      <c r="C36" s="287"/>
      <c r="D36" s="287"/>
      <c r="E36" s="287"/>
      <c r="F36" s="287"/>
    </row>
    <row r="37">
      <c r="A37" s="286" t="s">
        <v>482</v>
      </c>
      <c r="B37" s="290">
        <v>0.0</v>
      </c>
      <c r="C37" s="290">
        <v>0.0</v>
      </c>
      <c r="D37" s="291">
        <f t="shared" ref="D37:E37" si="17">0</f>
        <v>0</v>
      </c>
      <c r="E37" s="291">
        <f t="shared" si="17"/>
        <v>0</v>
      </c>
      <c r="F37" s="299">
        <f t="shared" ref="F37:F38" si="19">(((B37)+(C37))+(D37))+(E37)</f>
        <v>0</v>
      </c>
    </row>
    <row r="38">
      <c r="A38" s="286" t="s">
        <v>483</v>
      </c>
      <c r="B38" s="294">
        <f t="shared" ref="B38:E38" si="18">B37</f>
        <v>0</v>
      </c>
      <c r="C38" s="294">
        <f t="shared" si="18"/>
        <v>0</v>
      </c>
      <c r="D38" s="294">
        <f t="shared" si="18"/>
        <v>0</v>
      </c>
      <c r="E38" s="294">
        <f t="shared" si="18"/>
        <v>0</v>
      </c>
      <c r="F38" s="294">
        <f t="shared" si="19"/>
        <v>0</v>
      </c>
    </row>
    <row r="39">
      <c r="A39" s="286" t="s">
        <v>484</v>
      </c>
      <c r="B39" s="287"/>
      <c r="C39" s="287"/>
      <c r="D39" s="287"/>
      <c r="E39" s="287"/>
      <c r="F39" s="287"/>
    </row>
    <row r="40">
      <c r="A40" s="286" t="s">
        <v>485</v>
      </c>
      <c r="B40" s="290">
        <v>0.0</v>
      </c>
      <c r="C40" s="290">
        <v>0.0</v>
      </c>
      <c r="D40" s="291"/>
      <c r="E40" s="291"/>
      <c r="F40" s="293">
        <f>(((B40)+(C40))+(D40))+(E40)</f>
        <v>0</v>
      </c>
      <c r="H40" s="41">
        <v>0.0</v>
      </c>
      <c r="I40" s="292">
        <f>F40-H40</f>
        <v>0</v>
      </c>
      <c r="K40" s="300"/>
    </row>
    <row r="41">
      <c r="A41" s="286" t="s">
        <v>486</v>
      </c>
      <c r="B41" s="294">
        <f t="shared" ref="B41:F41" si="20">B40</f>
        <v>0</v>
      </c>
      <c r="C41" s="294">
        <f t="shared" si="20"/>
        <v>0</v>
      </c>
      <c r="D41" s="294" t="str">
        <f t="shared" si="20"/>
        <v/>
      </c>
      <c r="E41" s="294" t="str">
        <f t="shared" si="20"/>
        <v/>
      </c>
      <c r="F41" s="294">
        <f t="shared" si="20"/>
        <v>0</v>
      </c>
      <c r="R41" s="301">
        <v>44743.0</v>
      </c>
      <c r="S41" s="301">
        <v>44865.0</v>
      </c>
      <c r="T41" s="39">
        <f>R41-S41</f>
        <v>-122</v>
      </c>
    </row>
    <row r="42">
      <c r="A42" s="286" t="s">
        <v>487</v>
      </c>
      <c r="B42" s="287"/>
      <c r="C42" s="287"/>
      <c r="D42" s="287"/>
      <c r="E42" s="287"/>
      <c r="F42" s="287"/>
    </row>
    <row r="43">
      <c r="A43" s="286" t="s">
        <v>488</v>
      </c>
      <c r="B43" s="287"/>
      <c r="C43" s="287"/>
      <c r="D43" s="287"/>
      <c r="E43" s="287"/>
      <c r="F43" s="291"/>
    </row>
    <row r="44">
      <c r="A44" s="288" t="s">
        <v>489</v>
      </c>
      <c r="B44" s="290">
        <v>-236.12</v>
      </c>
      <c r="C44" s="291">
        <f>0</f>
        <v>0</v>
      </c>
      <c r="D44" s="291"/>
      <c r="E44" s="291"/>
      <c r="F44" s="291">
        <f t="shared" ref="F44:F47" si="21">(((B44)+(C44))+(D44))+(E44)</f>
        <v>-236.12</v>
      </c>
      <c r="H44" s="302">
        <v>58.87</v>
      </c>
      <c r="I44" s="292">
        <f t="shared" ref="I44:I47" si="22">F44-H44</f>
        <v>-294.99</v>
      </c>
    </row>
    <row r="45">
      <c r="A45" s="303" t="s">
        <v>490</v>
      </c>
      <c r="B45" s="290">
        <v>0.0</v>
      </c>
      <c r="C45" s="290">
        <v>0.0</v>
      </c>
      <c r="D45" s="291"/>
      <c r="E45" s="291"/>
      <c r="F45" s="291">
        <f t="shared" si="21"/>
        <v>0</v>
      </c>
      <c r="H45" s="302">
        <v>0.0</v>
      </c>
      <c r="I45" s="292">
        <f t="shared" si="22"/>
        <v>0</v>
      </c>
    </row>
    <row r="46">
      <c r="A46" s="286" t="s">
        <v>491</v>
      </c>
      <c r="B46" s="290">
        <v>3787.85</v>
      </c>
      <c r="C46" s="290">
        <v>0.0</v>
      </c>
      <c r="D46" s="291"/>
      <c r="E46" s="291"/>
      <c r="F46" s="291">
        <f t="shared" si="21"/>
        <v>3787.85</v>
      </c>
      <c r="H46" s="302">
        <f>-(1392.52-1955.09+5909.8)</f>
        <v>-5347.23</v>
      </c>
      <c r="I46" s="292">
        <f t="shared" si="22"/>
        <v>9135.08</v>
      </c>
    </row>
    <row r="47">
      <c r="A47" s="286" t="s">
        <v>492</v>
      </c>
      <c r="B47" s="290">
        <v>54167.21</v>
      </c>
      <c r="C47" s="290">
        <v>0.0</v>
      </c>
      <c r="D47" s="291"/>
      <c r="E47" s="291"/>
      <c r="F47" s="304">
        <f t="shared" si="21"/>
        <v>54167.21</v>
      </c>
      <c r="H47" s="302">
        <v>-427.48</v>
      </c>
      <c r="I47" s="292">
        <f t="shared" si="22"/>
        <v>54594.69</v>
      </c>
    </row>
    <row r="48">
      <c r="A48" s="286" t="s">
        <v>493</v>
      </c>
      <c r="B48" s="294">
        <f t="shared" ref="B48:F48" si="23">SUM(B44:B47)</f>
        <v>57718.94</v>
      </c>
      <c r="C48" s="294">
        <f t="shared" si="23"/>
        <v>0</v>
      </c>
      <c r="D48" s="294">
        <f t="shared" si="23"/>
        <v>0</v>
      </c>
      <c r="E48" s="294">
        <f t="shared" si="23"/>
        <v>0</v>
      </c>
      <c r="F48" s="294">
        <f t="shared" si="23"/>
        <v>57718.94</v>
      </c>
      <c r="I48" s="292">
        <f>SUM(I44:I47)</f>
        <v>63434.78</v>
      </c>
    </row>
    <row r="49">
      <c r="A49" s="286" t="s">
        <v>494</v>
      </c>
      <c r="B49" s="294">
        <f t="shared" ref="B49:F49" si="24">B48</f>
        <v>57718.94</v>
      </c>
      <c r="C49" s="294">
        <f t="shared" si="24"/>
        <v>0</v>
      </c>
      <c r="D49" s="294">
        <f t="shared" si="24"/>
        <v>0</v>
      </c>
      <c r="E49" s="294">
        <f t="shared" si="24"/>
        <v>0</v>
      </c>
      <c r="F49" s="294">
        <f t="shared" si="24"/>
        <v>57718.94</v>
      </c>
    </row>
    <row r="50">
      <c r="A50" s="286" t="s">
        <v>495</v>
      </c>
      <c r="B50" s="294">
        <f t="shared" ref="B50:F50" si="25">((B38)+(B41))+(B49)</f>
        <v>57718.94</v>
      </c>
      <c r="C50" s="294">
        <f t="shared" si="25"/>
        <v>0</v>
      </c>
      <c r="D50" s="294">
        <f t="shared" si="25"/>
        <v>0</v>
      </c>
      <c r="E50" s="294">
        <f t="shared" si="25"/>
        <v>0</v>
      </c>
      <c r="F50" s="294">
        <f t="shared" si="25"/>
        <v>57718.94</v>
      </c>
    </row>
    <row r="51">
      <c r="A51" s="286" t="s">
        <v>496</v>
      </c>
      <c r="B51" s="294">
        <f t="shared" ref="B51:F51" si="26">B50</f>
        <v>57718.94</v>
      </c>
      <c r="C51" s="294">
        <f t="shared" si="26"/>
        <v>0</v>
      </c>
      <c r="D51" s="294">
        <f t="shared" si="26"/>
        <v>0</v>
      </c>
      <c r="E51" s="294">
        <f t="shared" si="26"/>
        <v>0</v>
      </c>
      <c r="F51" s="294">
        <f t="shared" si="26"/>
        <v>57718.94</v>
      </c>
    </row>
    <row r="52">
      <c r="A52" s="286" t="s">
        <v>497</v>
      </c>
      <c r="B52" s="287"/>
      <c r="C52" s="287"/>
      <c r="D52" s="287"/>
      <c r="E52" s="287"/>
      <c r="F52" s="287"/>
    </row>
    <row r="53">
      <c r="A53" s="286" t="s">
        <v>498</v>
      </c>
      <c r="B53" s="290">
        <f>1222724.07+1895079.04</f>
        <v>3117803.11</v>
      </c>
      <c r="C53" s="291"/>
      <c r="D53" s="290">
        <v>0.0</v>
      </c>
      <c r="E53" s="291"/>
      <c r="F53" s="291">
        <f t="shared" ref="F53:F54" si="27">(((B53)+(C53))+(D53))+(E53)</f>
        <v>3117803.11</v>
      </c>
      <c r="H53" s="302"/>
    </row>
    <row r="54">
      <c r="A54" s="286" t="s">
        <v>499</v>
      </c>
      <c r="B54" s="290">
        <v>-1099445.84</v>
      </c>
      <c r="C54" s="290">
        <v>0.0</v>
      </c>
      <c r="D54" s="290">
        <v>0.0</v>
      </c>
      <c r="E54" s="291"/>
      <c r="F54" s="291">
        <f t="shared" si="27"/>
        <v>-1099445.84</v>
      </c>
    </row>
    <row r="55">
      <c r="A55" s="286" t="s">
        <v>500</v>
      </c>
      <c r="B55" s="294">
        <f t="shared" ref="B55:F55" si="28">SUM(B53:B54)</f>
        <v>2018357.27</v>
      </c>
      <c r="C55" s="294">
        <f t="shared" si="28"/>
        <v>0</v>
      </c>
      <c r="D55" s="294">
        <f t="shared" si="28"/>
        <v>0</v>
      </c>
      <c r="E55" s="294">
        <f t="shared" si="28"/>
        <v>0</v>
      </c>
      <c r="F55" s="294">
        <f t="shared" si="28"/>
        <v>2018357.27</v>
      </c>
    </row>
    <row r="56">
      <c r="A56" s="286" t="s">
        <v>501</v>
      </c>
      <c r="B56" s="294">
        <f t="shared" ref="B56:F56" si="29">(B51)+(B55)</f>
        <v>2076076.21</v>
      </c>
      <c r="C56" s="294">
        <f t="shared" si="29"/>
        <v>0</v>
      </c>
      <c r="D56" s="294">
        <f t="shared" si="29"/>
        <v>0</v>
      </c>
      <c r="E56" s="294">
        <f t="shared" si="29"/>
        <v>0</v>
      </c>
      <c r="F56" s="294">
        <f t="shared" si="29"/>
        <v>2076076.21</v>
      </c>
      <c r="I56" s="292">
        <f>I40+I53</f>
        <v>0</v>
      </c>
    </row>
    <row r="57"/>
    <row r="58" hidden="1">
      <c r="B58" s="298">
        <f>'YTD Income Statement'!E194</f>
        <v>-1099445.84</v>
      </c>
    </row>
    <row r="59" hidden="1">
      <c r="B59" s="292">
        <f>B54-B58</f>
        <v>-0.0000000004656612873</v>
      </c>
    </row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</sheetData>
  <mergeCells count="3">
    <mergeCell ref="A1:F1"/>
    <mergeCell ref="A2:F2"/>
    <mergeCell ref="A3:F3"/>
  </mergeCells>
  <hyperlinks>
    <hyperlink r:id="rId1" ref="A45"/>
  </hyperlinks>
  <printOptions/>
  <pageMargins bottom="0.75" footer="0.0" header="0.0" left="0.7" right="0.7" top="0.75"/>
  <pageSetup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9.75"/>
    <col customWidth="1" min="2" max="2" width="18.0"/>
    <col customWidth="1" min="3" max="3" width="37.38"/>
    <col customWidth="1" min="4" max="6" width="11.63"/>
    <col customWidth="1" min="7" max="7" width="13.5"/>
    <col customWidth="1" min="8" max="8" width="9.75"/>
    <col customWidth="1" min="9" max="27" width="7.63"/>
  </cols>
  <sheetData>
    <row r="1">
      <c r="A1" s="62" t="s">
        <v>134</v>
      </c>
      <c r="H1" s="48"/>
    </row>
    <row r="2">
      <c r="A2" s="62" t="s">
        <v>502</v>
      </c>
      <c r="H2" s="48"/>
    </row>
    <row r="3">
      <c r="A3" s="305">
        <v>45139.0</v>
      </c>
      <c r="C3" s="280"/>
      <c r="H3" s="48"/>
    </row>
    <row r="4">
      <c r="A4" s="280"/>
      <c r="H4" s="48"/>
    </row>
    <row r="5">
      <c r="A5" s="65"/>
      <c r="B5" s="306" t="s">
        <v>137</v>
      </c>
      <c r="C5" s="300"/>
      <c r="H5" s="48"/>
    </row>
    <row r="6">
      <c r="A6" s="68" t="s">
        <v>503</v>
      </c>
      <c r="B6" s="69"/>
      <c r="H6" s="48"/>
    </row>
    <row r="7">
      <c r="A7" s="307" t="s">
        <v>504</v>
      </c>
      <c r="B7" s="308">
        <f>'YTD Balance Sheet'!F54</f>
        <v>-1099445.84</v>
      </c>
      <c r="C7" s="307" t="s">
        <v>505</v>
      </c>
      <c r="H7" s="48"/>
    </row>
    <row r="8">
      <c r="A8" s="307" t="s">
        <v>506</v>
      </c>
      <c r="B8" s="69"/>
      <c r="H8" s="48"/>
    </row>
    <row r="9">
      <c r="A9" s="307" t="s">
        <v>507</v>
      </c>
      <c r="B9" s="309">
        <f>'YTD Balance Sheet'!I17</f>
        <v>0</v>
      </c>
      <c r="C9" s="280"/>
      <c r="H9" s="48"/>
    </row>
    <row r="10">
      <c r="A10" s="307" t="s">
        <v>508</v>
      </c>
      <c r="B10" s="309">
        <f>'YTD Balance Sheet'!I24</f>
        <v>0</v>
      </c>
      <c r="H10" s="48"/>
    </row>
    <row r="11">
      <c r="A11" s="307" t="s">
        <v>509</v>
      </c>
      <c r="B11" s="309">
        <v>0.0</v>
      </c>
      <c r="H11" s="48"/>
    </row>
    <row r="12">
      <c r="A12" s="310" t="s">
        <v>510</v>
      </c>
      <c r="B12" s="309">
        <v>0.0</v>
      </c>
      <c r="H12" s="48"/>
    </row>
    <row r="13">
      <c r="A13" s="307" t="s">
        <v>511</v>
      </c>
      <c r="B13" s="309">
        <v>0.0</v>
      </c>
      <c r="H13" s="48"/>
    </row>
    <row r="14">
      <c r="A14" s="307" t="s">
        <v>512</v>
      </c>
      <c r="B14" s="309">
        <f>'YTD Balance Sheet'!I44</f>
        <v>-294.99</v>
      </c>
      <c r="H14" s="48"/>
    </row>
    <row r="15">
      <c r="A15" s="307" t="s">
        <v>513</v>
      </c>
      <c r="B15" s="309">
        <f>'YTD Balance Sheet'!I46</f>
        <v>9135.08</v>
      </c>
      <c r="H15" s="48"/>
    </row>
    <row r="16">
      <c r="A16" s="307" t="s">
        <v>514</v>
      </c>
      <c r="B16" s="309">
        <f>'YTD Balance Sheet'!I47</f>
        <v>54594.69</v>
      </c>
      <c r="H16" s="48"/>
    </row>
    <row r="17">
      <c r="A17" s="68" t="s">
        <v>515</v>
      </c>
      <c r="B17" s="311">
        <f>SUM(B9:B16)</f>
        <v>63434.78</v>
      </c>
      <c r="H17" s="48"/>
    </row>
    <row r="18">
      <c r="A18" s="68" t="s">
        <v>516</v>
      </c>
      <c r="B18" s="311">
        <f>B7+B17</f>
        <v>-1036011.06</v>
      </c>
      <c r="H18" s="48"/>
    </row>
    <row r="19">
      <c r="A19" s="68" t="s">
        <v>517</v>
      </c>
      <c r="B19" s="312"/>
      <c r="H19" s="48"/>
    </row>
    <row r="20">
      <c r="A20" s="307" t="s">
        <v>518</v>
      </c>
      <c r="B20" s="313">
        <f>-'YTD Balance Sheet'!I29</f>
        <v>0</v>
      </c>
      <c r="C20" s="41" t="s">
        <v>519</v>
      </c>
      <c r="D20" s="314">
        <f>'YTD Income Statement'!E102</f>
        <v>303197.62</v>
      </c>
      <c r="E20" s="300"/>
      <c r="F20" s="315"/>
      <c r="H20" s="48"/>
    </row>
    <row r="21">
      <c r="A21" s="68" t="s">
        <v>520</v>
      </c>
      <c r="B21" s="311">
        <f>B20</f>
        <v>0</v>
      </c>
      <c r="D21" s="315"/>
      <c r="E21" s="315"/>
      <c r="F21" s="315"/>
      <c r="H21" s="48"/>
    </row>
    <row r="22">
      <c r="A22" s="68"/>
      <c r="B22" s="316"/>
      <c r="H22" s="48"/>
    </row>
    <row r="23">
      <c r="A23" s="68" t="s">
        <v>521</v>
      </c>
      <c r="B23" s="313">
        <f>B21+B18</f>
        <v>-1036011.06</v>
      </c>
      <c r="H23" s="48"/>
    </row>
    <row r="24">
      <c r="A24" s="68" t="s">
        <v>522</v>
      </c>
      <c r="B24" s="317">
        <f>D35</f>
        <v>1952553.96</v>
      </c>
      <c r="H24" s="48"/>
    </row>
    <row r="25">
      <c r="A25" s="68" t="s">
        <v>523</v>
      </c>
      <c r="B25" s="313">
        <f>B23+B24</f>
        <v>916542.9</v>
      </c>
      <c r="H25" s="48"/>
    </row>
    <row r="26">
      <c r="A26" s="67"/>
      <c r="B26" s="69"/>
      <c r="H26" s="48"/>
    </row>
    <row r="27">
      <c r="A27" s="318" t="s">
        <v>524</v>
      </c>
      <c r="B27" s="319"/>
      <c r="C27" s="320"/>
      <c r="D27" s="320"/>
      <c r="E27" s="320"/>
      <c r="F27" s="320"/>
      <c r="H27" s="48"/>
    </row>
    <row r="28">
      <c r="A28" s="307" t="s">
        <v>525</v>
      </c>
      <c r="B28" s="321"/>
      <c r="D28" s="321"/>
      <c r="E28" s="320"/>
      <c r="F28" s="320"/>
      <c r="H28" s="48"/>
    </row>
    <row r="29">
      <c r="A29" s="307"/>
      <c r="C29" s="321"/>
      <c r="D29" s="321"/>
      <c r="E29" s="320"/>
      <c r="F29" s="320"/>
      <c r="H29" s="48"/>
    </row>
    <row r="30">
      <c r="A30" s="307"/>
      <c r="B30" s="321"/>
      <c r="C30" s="321"/>
      <c r="D30" s="320"/>
      <c r="E30" s="320"/>
      <c r="F30" s="320"/>
      <c r="H30" s="48"/>
    </row>
    <row r="31">
      <c r="A31" s="318" t="s">
        <v>526</v>
      </c>
      <c r="B31" s="322">
        <f>SUM(B28:B30)</f>
        <v>0</v>
      </c>
      <c r="C31" s="323"/>
      <c r="D31" s="320"/>
      <c r="E31" s="320"/>
      <c r="F31" s="320"/>
      <c r="H31" s="48"/>
    </row>
    <row r="32">
      <c r="A32" s="324" t="s">
        <v>527</v>
      </c>
      <c r="B32" s="325">
        <f>B25+B31</f>
        <v>916542.9</v>
      </c>
      <c r="C32" s="326">
        <f>B32-D36</f>
        <v>0.0000000001164153218</v>
      </c>
      <c r="D32" s="320"/>
      <c r="E32" s="320"/>
      <c r="F32" s="320"/>
      <c r="H32" s="48"/>
    </row>
    <row r="33">
      <c r="A33" s="320"/>
      <c r="B33" s="319"/>
      <c r="C33" s="320"/>
      <c r="D33" s="320"/>
      <c r="E33" s="320"/>
      <c r="F33" s="320"/>
      <c r="H33" s="48"/>
    </row>
    <row r="34">
      <c r="A34" s="327" t="s">
        <v>528</v>
      </c>
      <c r="B34" s="328" t="s">
        <v>529</v>
      </c>
      <c r="C34" s="329" t="s">
        <v>530</v>
      </c>
      <c r="D34" s="329" t="s">
        <v>137</v>
      </c>
      <c r="F34" s="43"/>
    </row>
    <row r="35">
      <c r="A35" s="330" t="s">
        <v>531</v>
      </c>
      <c r="B35" s="331">
        <f>'YTD Balance Sheet'!H9</f>
        <v>1948225.84</v>
      </c>
      <c r="C35" s="331">
        <f>'YTD Balance Sheet'!H12</f>
        <v>4328.12</v>
      </c>
      <c r="D35" s="332">
        <f t="shared" ref="D35:D36" si="1">SUM(B35:C35)</f>
        <v>1952553.96</v>
      </c>
      <c r="F35" s="43"/>
    </row>
    <row r="36">
      <c r="A36" s="330" t="s">
        <v>532</v>
      </c>
      <c r="B36" s="333">
        <f>'YTD Balance Sheet'!B9</f>
        <v>912214.78</v>
      </c>
      <c r="C36" s="333">
        <f>'YTD Balance Sheet'!F12</f>
        <v>4328.12</v>
      </c>
      <c r="D36" s="334">
        <f t="shared" si="1"/>
        <v>916542.9</v>
      </c>
      <c r="F36" s="48"/>
    </row>
    <row r="37">
      <c r="A37" s="335" t="s">
        <v>533</v>
      </c>
      <c r="B37" s="336">
        <f>B36-B35</f>
        <v>-1036011.06</v>
      </c>
      <c r="C37" s="336">
        <f>SUM(C36-C35)</f>
        <v>0</v>
      </c>
      <c r="D37" s="337">
        <f>D36-D35</f>
        <v>-1036011.06</v>
      </c>
      <c r="F37" s="43"/>
    </row>
    <row r="38">
      <c r="A38" s="320"/>
      <c r="B38" s="338"/>
      <c r="C38" s="338"/>
      <c r="D38" s="319"/>
      <c r="F38" s="48"/>
    </row>
    <row r="39">
      <c r="A39" s="339" t="s">
        <v>534</v>
      </c>
      <c r="B39" s="340"/>
      <c r="C39" s="340"/>
      <c r="D39" s="340" t="s">
        <v>137</v>
      </c>
      <c r="F39" s="48"/>
    </row>
    <row r="40">
      <c r="A40" s="341" t="s">
        <v>535</v>
      </c>
      <c r="B40" s="319"/>
      <c r="C40" s="319"/>
      <c r="D40" s="342">
        <f>'Bank Register'!F358</f>
        <v>1239997.49</v>
      </c>
      <c r="E40" s="315"/>
      <c r="F40" s="48"/>
    </row>
    <row r="41">
      <c r="A41" s="341" t="s">
        <v>536</v>
      </c>
      <c r="B41" s="319"/>
      <c r="C41" s="319"/>
      <c r="D41" s="343">
        <f>'Bank Register'!G358</f>
        <v>495660.66</v>
      </c>
      <c r="E41" s="315"/>
      <c r="F41" s="48"/>
    </row>
    <row r="42">
      <c r="A42" s="344" t="s">
        <v>537</v>
      </c>
      <c r="B42" s="345"/>
      <c r="C42" s="345"/>
      <c r="D42" s="346">
        <f>D41-D40</f>
        <v>-744336.83</v>
      </c>
      <c r="E42" s="300"/>
      <c r="F42" s="48"/>
    </row>
    <row r="43">
      <c r="A43" s="344" t="s">
        <v>538</v>
      </c>
      <c r="B43" s="345"/>
      <c r="C43" s="345"/>
      <c r="D43" s="346">
        <v>-291674.23</v>
      </c>
      <c r="E43" s="347"/>
      <c r="F43" s="48"/>
    </row>
    <row r="44">
      <c r="A44" s="335" t="s">
        <v>539</v>
      </c>
      <c r="B44" s="336"/>
      <c r="C44" s="336"/>
      <c r="D44" s="348">
        <f>D42+D43</f>
        <v>-1036011.06</v>
      </c>
      <c r="E44" s="349"/>
      <c r="F44" s="350"/>
    </row>
    <row r="45">
      <c r="F45" s="48"/>
    </row>
    <row r="46">
      <c r="H46" s="48"/>
    </row>
    <row r="47">
      <c r="H47" s="48"/>
    </row>
    <row r="48">
      <c r="H48" s="48"/>
    </row>
    <row r="49">
      <c r="H49" s="48"/>
    </row>
    <row r="50">
      <c r="H50" s="48"/>
    </row>
    <row r="51">
      <c r="H51" s="48"/>
    </row>
    <row r="52">
      <c r="H52" s="48"/>
    </row>
    <row r="53">
      <c r="H53" s="48"/>
    </row>
    <row r="54">
      <c r="H54" s="48"/>
    </row>
    <row r="55">
      <c r="H55" s="48"/>
    </row>
    <row r="56">
      <c r="H56" s="48"/>
    </row>
    <row r="57">
      <c r="H57" s="48"/>
    </row>
    <row r="58">
      <c r="H58" s="48"/>
    </row>
    <row r="59">
      <c r="H59" s="48"/>
    </row>
    <row r="60">
      <c r="H60" s="48"/>
    </row>
    <row r="61">
      <c r="H61" s="48"/>
    </row>
    <row r="62">
      <c r="H62" s="48"/>
    </row>
    <row r="63">
      <c r="H63" s="48"/>
    </row>
    <row r="64">
      <c r="H64" s="48"/>
    </row>
    <row r="65">
      <c r="H65" s="48"/>
    </row>
    <row r="66">
      <c r="H66" s="48"/>
    </row>
    <row r="67">
      <c r="H67" s="48"/>
    </row>
    <row r="68">
      <c r="H68" s="48"/>
    </row>
    <row r="69">
      <c r="H69" s="48"/>
    </row>
    <row r="70">
      <c r="H70" s="48"/>
    </row>
    <row r="71">
      <c r="H71" s="48"/>
    </row>
    <row r="72">
      <c r="H72" s="48"/>
    </row>
    <row r="73">
      <c r="H73" s="48"/>
    </row>
    <row r="74">
      <c r="H74" s="48"/>
    </row>
    <row r="75">
      <c r="H75" s="48"/>
    </row>
    <row r="76">
      <c r="H76" s="48"/>
    </row>
    <row r="77">
      <c r="H77" s="48"/>
    </row>
    <row r="78">
      <c r="H78" s="48"/>
    </row>
    <row r="79">
      <c r="H79" s="48"/>
    </row>
    <row r="80">
      <c r="H80" s="48"/>
    </row>
    <row r="81">
      <c r="H81" s="48"/>
    </row>
    <row r="82">
      <c r="H82" s="48"/>
    </row>
    <row r="83">
      <c r="H83" s="48"/>
    </row>
    <row r="84">
      <c r="H84" s="48"/>
    </row>
    <row r="85">
      <c r="H85" s="48"/>
    </row>
    <row r="86">
      <c r="H86" s="48"/>
    </row>
    <row r="87">
      <c r="H87" s="48"/>
    </row>
    <row r="88">
      <c r="H88" s="48"/>
    </row>
    <row r="89">
      <c r="H89" s="48"/>
    </row>
    <row r="90">
      <c r="H90" s="48"/>
    </row>
    <row r="91">
      <c r="H91" s="48"/>
    </row>
    <row r="92">
      <c r="H92" s="48"/>
    </row>
    <row r="93">
      <c r="H93" s="48"/>
    </row>
    <row r="94">
      <c r="H94" s="48"/>
    </row>
    <row r="95">
      <c r="H95" s="48"/>
    </row>
    <row r="96">
      <c r="H96" s="48"/>
    </row>
    <row r="97">
      <c r="H97" s="48"/>
    </row>
    <row r="98">
      <c r="H98" s="48"/>
    </row>
    <row r="99">
      <c r="H99" s="48"/>
    </row>
    <row r="100">
      <c r="H100" s="48"/>
    </row>
    <row r="101">
      <c r="H101" s="48"/>
    </row>
    <row r="102">
      <c r="H102" s="48"/>
    </row>
    <row r="103">
      <c r="H103" s="48"/>
    </row>
    <row r="104">
      <c r="H104" s="48"/>
    </row>
    <row r="105">
      <c r="H105" s="48"/>
    </row>
    <row r="106">
      <c r="H106" s="48"/>
    </row>
    <row r="107">
      <c r="H107" s="48"/>
    </row>
    <row r="108">
      <c r="H108" s="48"/>
    </row>
    <row r="109">
      <c r="H109" s="48"/>
    </row>
    <row r="110">
      <c r="H110" s="48"/>
    </row>
    <row r="111">
      <c r="H111" s="48"/>
    </row>
    <row r="112">
      <c r="H112" s="48"/>
    </row>
    <row r="113">
      <c r="H113" s="48"/>
    </row>
    <row r="114">
      <c r="H114" s="48"/>
    </row>
    <row r="115">
      <c r="H115" s="48"/>
    </row>
    <row r="116">
      <c r="H116" s="48"/>
    </row>
    <row r="117">
      <c r="H117" s="48"/>
    </row>
    <row r="118">
      <c r="H118" s="48"/>
    </row>
    <row r="119">
      <c r="H119" s="48"/>
    </row>
    <row r="120">
      <c r="H120" s="48"/>
    </row>
    <row r="121">
      <c r="H121" s="48"/>
    </row>
    <row r="122">
      <c r="H122" s="48"/>
    </row>
    <row r="123">
      <c r="H123" s="48"/>
    </row>
    <row r="124">
      <c r="H124" s="48"/>
    </row>
    <row r="125">
      <c r="H125" s="48"/>
    </row>
    <row r="126">
      <c r="H126" s="48"/>
    </row>
    <row r="127">
      <c r="H127" s="48"/>
    </row>
    <row r="128">
      <c r="H128" s="48"/>
    </row>
    <row r="129">
      <c r="H129" s="48"/>
    </row>
    <row r="130">
      <c r="H130" s="48"/>
    </row>
    <row r="131">
      <c r="H131" s="48"/>
    </row>
    <row r="132">
      <c r="H132" s="48"/>
    </row>
    <row r="133">
      <c r="H133" s="48"/>
    </row>
    <row r="134">
      <c r="H134" s="48"/>
    </row>
    <row r="135">
      <c r="H135" s="48"/>
    </row>
    <row r="136">
      <c r="H136" s="48"/>
    </row>
    <row r="137">
      <c r="H137" s="48"/>
    </row>
    <row r="138">
      <c r="H138" s="48"/>
    </row>
    <row r="139">
      <c r="H139" s="48"/>
    </row>
    <row r="140">
      <c r="H140" s="48"/>
    </row>
    <row r="141">
      <c r="H141" s="48"/>
    </row>
    <row r="142">
      <c r="H142" s="48"/>
    </row>
    <row r="143">
      <c r="H143" s="48"/>
    </row>
    <row r="144">
      <c r="H144" s="48"/>
    </row>
    <row r="145">
      <c r="H145" s="48"/>
    </row>
    <row r="146">
      <c r="H146" s="48"/>
    </row>
    <row r="147">
      <c r="H147" s="48"/>
    </row>
    <row r="148">
      <c r="H148" s="48"/>
    </row>
    <row r="149">
      <c r="H149" s="48"/>
    </row>
    <row r="150">
      <c r="H150" s="48"/>
    </row>
    <row r="151">
      <c r="H151" s="48"/>
    </row>
    <row r="152">
      <c r="H152" s="48"/>
    </row>
    <row r="153">
      <c r="H153" s="48"/>
    </row>
    <row r="154">
      <c r="H154" s="48"/>
    </row>
    <row r="155">
      <c r="H155" s="48"/>
    </row>
    <row r="156">
      <c r="H156" s="48"/>
    </row>
    <row r="157">
      <c r="H157" s="48"/>
    </row>
    <row r="158">
      <c r="H158" s="48"/>
    </row>
    <row r="159">
      <c r="H159" s="48"/>
    </row>
    <row r="160">
      <c r="H160" s="48"/>
    </row>
    <row r="161">
      <c r="H161" s="48"/>
    </row>
    <row r="162">
      <c r="H162" s="48"/>
    </row>
    <row r="163">
      <c r="H163" s="48"/>
    </row>
    <row r="164">
      <c r="H164" s="48"/>
    </row>
    <row r="165">
      <c r="H165" s="48"/>
    </row>
    <row r="166">
      <c r="H166" s="48"/>
    </row>
    <row r="167">
      <c r="H167" s="48"/>
    </row>
    <row r="168">
      <c r="H168" s="48"/>
    </row>
    <row r="169">
      <c r="H169" s="48"/>
    </row>
    <row r="170">
      <c r="H170" s="48"/>
    </row>
    <row r="171">
      <c r="H171" s="48"/>
    </row>
    <row r="172">
      <c r="H172" s="48"/>
    </row>
    <row r="173">
      <c r="H173" s="48"/>
    </row>
    <row r="174">
      <c r="H174" s="48"/>
    </row>
    <row r="175">
      <c r="H175" s="48"/>
    </row>
    <row r="176">
      <c r="H176" s="48"/>
    </row>
    <row r="177">
      <c r="H177" s="48"/>
    </row>
    <row r="178">
      <c r="H178" s="48"/>
    </row>
    <row r="179">
      <c r="H179" s="48"/>
    </row>
    <row r="180">
      <c r="H180" s="48"/>
    </row>
    <row r="181">
      <c r="H181" s="48"/>
    </row>
    <row r="182">
      <c r="H182" s="48"/>
    </row>
    <row r="183">
      <c r="H183" s="48"/>
    </row>
    <row r="184">
      <c r="H184" s="48"/>
    </row>
    <row r="185">
      <c r="H185" s="48"/>
    </row>
    <row r="186">
      <c r="H186" s="48"/>
    </row>
    <row r="187">
      <c r="H187" s="48"/>
    </row>
    <row r="188">
      <c r="H188" s="48"/>
    </row>
    <row r="189">
      <c r="H189" s="48"/>
    </row>
    <row r="190">
      <c r="H190" s="48"/>
    </row>
    <row r="191">
      <c r="H191" s="48"/>
    </row>
    <row r="192">
      <c r="H192" s="48"/>
    </row>
    <row r="193">
      <c r="H193" s="48"/>
    </row>
    <row r="194">
      <c r="H194" s="48"/>
    </row>
    <row r="195">
      <c r="H195" s="48"/>
    </row>
    <row r="196">
      <c r="H196" s="48"/>
    </row>
    <row r="197">
      <c r="H197" s="48"/>
    </row>
    <row r="198">
      <c r="H198" s="48"/>
    </row>
    <row r="199">
      <c r="H199" s="48"/>
    </row>
    <row r="200">
      <c r="H200" s="48"/>
    </row>
    <row r="201">
      <c r="H201" s="48"/>
    </row>
    <row r="202">
      <c r="H202" s="48"/>
    </row>
    <row r="203">
      <c r="H203" s="48"/>
    </row>
    <row r="204">
      <c r="H204" s="48"/>
    </row>
    <row r="205">
      <c r="H205" s="48"/>
    </row>
    <row r="206">
      <c r="H206" s="48"/>
    </row>
    <row r="207">
      <c r="H207" s="48"/>
    </row>
    <row r="208">
      <c r="H208" s="48"/>
    </row>
    <row r="209">
      <c r="H209" s="48"/>
    </row>
    <row r="210">
      <c r="H210" s="48"/>
    </row>
    <row r="211">
      <c r="H211" s="48"/>
    </row>
    <row r="212">
      <c r="H212" s="48"/>
    </row>
    <row r="213">
      <c r="H213" s="48"/>
    </row>
    <row r="214">
      <c r="H214" s="48"/>
    </row>
    <row r="215">
      <c r="H215" s="48"/>
    </row>
    <row r="216">
      <c r="H216" s="48"/>
    </row>
    <row r="217">
      <c r="H217" s="48"/>
    </row>
    <row r="218">
      <c r="H218" s="48"/>
    </row>
    <row r="219">
      <c r="H219" s="48"/>
    </row>
    <row r="220">
      <c r="H220" s="48"/>
    </row>
    <row r="221">
      <c r="H221" s="48"/>
    </row>
    <row r="222">
      <c r="H222" s="48"/>
    </row>
    <row r="223">
      <c r="H223" s="48"/>
    </row>
    <row r="224">
      <c r="H224" s="48"/>
    </row>
    <row r="225">
      <c r="H225" s="48"/>
    </row>
    <row r="226">
      <c r="H226" s="48"/>
    </row>
    <row r="227">
      <c r="H227" s="48"/>
    </row>
    <row r="228">
      <c r="H228" s="48"/>
    </row>
    <row r="229">
      <c r="H229" s="48"/>
    </row>
    <row r="230">
      <c r="H230" s="48"/>
    </row>
    <row r="231">
      <c r="H231" s="48"/>
    </row>
    <row r="232">
      <c r="H232" s="48"/>
    </row>
    <row r="233">
      <c r="H233" s="48"/>
    </row>
    <row r="234">
      <c r="H234" s="48"/>
    </row>
    <row r="235">
      <c r="H235" s="48"/>
    </row>
    <row r="236">
      <c r="H236" s="48"/>
    </row>
    <row r="237">
      <c r="H237" s="48"/>
    </row>
    <row r="238">
      <c r="H238" s="48"/>
    </row>
    <row r="239">
      <c r="H239" s="48"/>
    </row>
    <row r="240">
      <c r="H240" s="48"/>
    </row>
    <row r="241">
      <c r="H241" s="48"/>
    </row>
    <row r="242">
      <c r="H242" s="48"/>
    </row>
    <row r="243">
      <c r="H243" s="48"/>
    </row>
    <row r="244">
      <c r="H244" s="48"/>
    </row>
    <row r="245">
      <c r="H245" s="48"/>
    </row>
    <row r="246">
      <c r="H246" s="48"/>
    </row>
    <row r="247">
      <c r="H247" s="48"/>
    </row>
    <row r="248">
      <c r="H248" s="48"/>
    </row>
    <row r="249">
      <c r="H249" s="48"/>
    </row>
    <row r="250">
      <c r="H250" s="48"/>
    </row>
    <row r="251">
      <c r="H251" s="48"/>
    </row>
    <row r="252">
      <c r="H252" s="48"/>
    </row>
    <row r="253">
      <c r="H253" s="48"/>
    </row>
    <row r="254">
      <c r="H254" s="48"/>
    </row>
    <row r="255">
      <c r="H255" s="48"/>
    </row>
    <row r="256">
      <c r="H256" s="48"/>
    </row>
    <row r="257">
      <c r="H257" s="48"/>
    </row>
    <row r="258">
      <c r="H258" s="48"/>
    </row>
    <row r="259">
      <c r="H259" s="48"/>
    </row>
    <row r="260">
      <c r="H260" s="48"/>
    </row>
    <row r="261">
      <c r="H261" s="48"/>
    </row>
    <row r="262">
      <c r="H262" s="48"/>
    </row>
    <row r="263">
      <c r="H263" s="48"/>
    </row>
    <row r="264">
      <c r="H264" s="48"/>
    </row>
    <row r="265">
      <c r="H265" s="48"/>
    </row>
    <row r="266">
      <c r="H266" s="48"/>
    </row>
    <row r="267">
      <c r="H267" s="48"/>
    </row>
    <row r="268">
      <c r="H268" s="48"/>
    </row>
    <row r="269">
      <c r="H269" s="48"/>
    </row>
    <row r="270">
      <c r="H270" s="48"/>
    </row>
    <row r="271">
      <c r="H271" s="48"/>
    </row>
    <row r="272">
      <c r="H272" s="48"/>
    </row>
    <row r="273">
      <c r="H273" s="48"/>
    </row>
    <row r="274">
      <c r="H274" s="48"/>
    </row>
    <row r="275">
      <c r="H275" s="48"/>
    </row>
    <row r="276">
      <c r="H276" s="48"/>
    </row>
    <row r="277">
      <c r="H277" s="48"/>
    </row>
    <row r="278">
      <c r="H278" s="48"/>
    </row>
    <row r="279">
      <c r="H279" s="48"/>
    </row>
    <row r="280">
      <c r="H280" s="48"/>
    </row>
    <row r="281">
      <c r="H281" s="48"/>
    </row>
    <row r="282">
      <c r="H282" s="48"/>
    </row>
    <row r="283">
      <c r="H283" s="48"/>
    </row>
    <row r="284">
      <c r="H284" s="48"/>
    </row>
    <row r="285">
      <c r="H285" s="48"/>
    </row>
    <row r="286">
      <c r="H286" s="48"/>
    </row>
    <row r="287">
      <c r="H287" s="48"/>
    </row>
    <row r="288">
      <c r="H288" s="48"/>
    </row>
    <row r="289">
      <c r="H289" s="48"/>
    </row>
    <row r="290">
      <c r="H290" s="48"/>
    </row>
    <row r="291">
      <c r="H291" s="48"/>
    </row>
    <row r="292">
      <c r="H292" s="48"/>
    </row>
    <row r="293">
      <c r="H293" s="48"/>
    </row>
    <row r="294">
      <c r="H294" s="48"/>
    </row>
    <row r="295">
      <c r="H295" s="48"/>
    </row>
    <row r="296">
      <c r="H296" s="48"/>
    </row>
    <row r="297">
      <c r="H297" s="48"/>
    </row>
    <row r="298">
      <c r="H298" s="48"/>
    </row>
    <row r="299">
      <c r="H299" s="48"/>
    </row>
    <row r="300">
      <c r="H300" s="48"/>
    </row>
    <row r="301">
      <c r="H301" s="48"/>
    </row>
    <row r="302">
      <c r="H302" s="48"/>
    </row>
    <row r="303">
      <c r="H303" s="48"/>
    </row>
    <row r="304">
      <c r="H304" s="48"/>
    </row>
    <row r="305">
      <c r="H305" s="48"/>
    </row>
    <row r="306">
      <c r="H306" s="48"/>
    </row>
    <row r="307">
      <c r="H307" s="48"/>
    </row>
    <row r="308">
      <c r="H308" s="48"/>
    </row>
    <row r="309">
      <c r="H309" s="48"/>
    </row>
    <row r="310">
      <c r="H310" s="48"/>
    </row>
    <row r="311">
      <c r="H311" s="48"/>
    </row>
    <row r="312">
      <c r="H312" s="48"/>
    </row>
    <row r="313">
      <c r="H313" s="48"/>
    </row>
    <row r="314">
      <c r="H314" s="48"/>
    </row>
    <row r="315">
      <c r="H315" s="48"/>
    </row>
    <row r="316">
      <c r="H316" s="48"/>
    </row>
    <row r="317">
      <c r="H317" s="48"/>
    </row>
    <row r="318">
      <c r="H318" s="48"/>
    </row>
    <row r="319">
      <c r="H319" s="48"/>
    </row>
    <row r="320">
      <c r="H320" s="48"/>
    </row>
    <row r="321">
      <c r="H321" s="48"/>
    </row>
    <row r="322">
      <c r="H322" s="48"/>
    </row>
    <row r="323">
      <c r="H323" s="48"/>
    </row>
    <row r="324">
      <c r="H324" s="48"/>
    </row>
    <row r="325">
      <c r="H325" s="48"/>
    </row>
    <row r="326">
      <c r="H326" s="48"/>
    </row>
    <row r="327">
      <c r="H327" s="48"/>
    </row>
    <row r="328">
      <c r="H328" s="48"/>
    </row>
    <row r="329">
      <c r="H329" s="48"/>
    </row>
    <row r="330">
      <c r="H330" s="48"/>
    </row>
    <row r="331">
      <c r="H331" s="48"/>
    </row>
    <row r="332">
      <c r="H332" s="48"/>
    </row>
    <row r="333">
      <c r="H333" s="48"/>
    </row>
    <row r="334">
      <c r="H334" s="48"/>
    </row>
    <row r="335">
      <c r="H335" s="48"/>
    </row>
    <row r="336">
      <c r="H336" s="48"/>
    </row>
    <row r="337">
      <c r="H337" s="48"/>
    </row>
    <row r="338">
      <c r="H338" s="48"/>
    </row>
    <row r="339">
      <c r="H339" s="48"/>
    </row>
    <row r="340">
      <c r="H340" s="48"/>
    </row>
    <row r="341">
      <c r="H341" s="48"/>
    </row>
    <row r="342">
      <c r="H342" s="48"/>
    </row>
    <row r="343">
      <c r="H343" s="48"/>
    </row>
    <row r="344">
      <c r="H344" s="48"/>
    </row>
    <row r="345">
      <c r="H345" s="48"/>
    </row>
    <row r="346">
      <c r="H346" s="48"/>
    </row>
    <row r="347">
      <c r="H347" s="48"/>
    </row>
    <row r="348">
      <c r="H348" s="48"/>
    </row>
    <row r="349">
      <c r="H349" s="48"/>
    </row>
    <row r="350">
      <c r="H350" s="48"/>
    </row>
    <row r="351">
      <c r="H351" s="48"/>
    </row>
    <row r="352">
      <c r="H352" s="48"/>
    </row>
    <row r="353">
      <c r="H353" s="48"/>
    </row>
    <row r="354">
      <c r="H354" s="48"/>
    </row>
    <row r="355">
      <c r="H355" s="48"/>
    </row>
    <row r="356">
      <c r="H356" s="48"/>
    </row>
    <row r="357">
      <c r="H357" s="48"/>
    </row>
    <row r="358">
      <c r="H358" s="48"/>
    </row>
    <row r="359">
      <c r="H359" s="48"/>
    </row>
    <row r="360">
      <c r="H360" s="48"/>
    </row>
    <row r="361">
      <c r="H361" s="48"/>
    </row>
    <row r="362">
      <c r="H362" s="48"/>
    </row>
    <row r="363">
      <c r="H363" s="48"/>
    </row>
    <row r="364">
      <c r="H364" s="48"/>
    </row>
    <row r="365">
      <c r="H365" s="48"/>
    </row>
    <row r="366">
      <c r="H366" s="48"/>
    </row>
    <row r="367">
      <c r="H367" s="48"/>
    </row>
    <row r="368">
      <c r="H368" s="48"/>
    </row>
    <row r="369">
      <c r="H369" s="48"/>
    </row>
    <row r="370">
      <c r="H370" s="48"/>
    </row>
    <row r="371">
      <c r="H371" s="48"/>
    </row>
    <row r="372">
      <c r="H372" s="48"/>
    </row>
    <row r="373">
      <c r="H373" s="48"/>
    </row>
    <row r="374">
      <c r="H374" s="48"/>
    </row>
    <row r="375">
      <c r="H375" s="48"/>
    </row>
    <row r="376">
      <c r="H376" s="48"/>
    </row>
    <row r="377">
      <c r="H377" s="48"/>
    </row>
    <row r="378">
      <c r="H378" s="48"/>
    </row>
    <row r="379">
      <c r="H379" s="48"/>
    </row>
    <row r="380">
      <c r="H380" s="48"/>
    </row>
    <row r="381">
      <c r="H381" s="48"/>
    </row>
    <row r="382">
      <c r="H382" s="48"/>
    </row>
    <row r="383">
      <c r="H383" s="48"/>
    </row>
    <row r="384">
      <c r="H384" s="48"/>
    </row>
    <row r="385">
      <c r="H385" s="48"/>
    </row>
    <row r="386">
      <c r="H386" s="48"/>
    </row>
    <row r="387">
      <c r="H387" s="48"/>
    </row>
    <row r="388">
      <c r="H388" s="48"/>
    </row>
    <row r="389">
      <c r="H389" s="48"/>
    </row>
    <row r="390">
      <c r="H390" s="48"/>
    </row>
    <row r="391">
      <c r="H391" s="48"/>
    </row>
    <row r="392">
      <c r="H392" s="48"/>
    </row>
    <row r="393">
      <c r="H393" s="48"/>
    </row>
    <row r="394">
      <c r="H394" s="48"/>
    </row>
    <row r="395">
      <c r="H395" s="48"/>
    </row>
    <row r="396">
      <c r="H396" s="48"/>
    </row>
    <row r="397">
      <c r="H397" s="48"/>
    </row>
    <row r="398">
      <c r="H398" s="48"/>
    </row>
    <row r="399">
      <c r="H399" s="48"/>
    </row>
    <row r="400">
      <c r="H400" s="48"/>
    </row>
    <row r="401">
      <c r="H401" s="48"/>
    </row>
    <row r="402">
      <c r="H402" s="48"/>
    </row>
    <row r="403">
      <c r="H403" s="48"/>
    </row>
    <row r="404">
      <c r="H404" s="48"/>
    </row>
    <row r="405">
      <c r="H405" s="48"/>
    </row>
    <row r="406">
      <c r="H406" s="48"/>
    </row>
    <row r="407">
      <c r="H407" s="48"/>
    </row>
    <row r="408">
      <c r="H408" s="48"/>
    </row>
    <row r="409">
      <c r="H409" s="48"/>
    </row>
    <row r="410">
      <c r="H410" s="48"/>
    </row>
    <row r="411">
      <c r="H411" s="48"/>
    </row>
    <row r="412">
      <c r="H412" s="48"/>
    </row>
    <row r="413">
      <c r="H413" s="48"/>
    </row>
    <row r="414">
      <c r="H414" s="48"/>
    </row>
    <row r="415">
      <c r="H415" s="48"/>
    </row>
    <row r="416">
      <c r="H416" s="48"/>
    </row>
    <row r="417">
      <c r="H417" s="48"/>
    </row>
    <row r="418">
      <c r="H418" s="48"/>
    </row>
    <row r="419">
      <c r="H419" s="48"/>
    </row>
    <row r="420">
      <c r="H420" s="48"/>
    </row>
    <row r="421">
      <c r="H421" s="48"/>
    </row>
    <row r="422">
      <c r="H422" s="48"/>
    </row>
    <row r="423">
      <c r="H423" s="48"/>
    </row>
    <row r="424">
      <c r="H424" s="48"/>
    </row>
    <row r="425">
      <c r="H425" s="48"/>
    </row>
    <row r="426">
      <c r="H426" s="48"/>
    </row>
    <row r="427">
      <c r="H427" s="48"/>
    </row>
    <row r="428">
      <c r="H428" s="48"/>
    </row>
    <row r="429">
      <c r="H429" s="48"/>
    </row>
    <row r="430">
      <c r="H430" s="48"/>
    </row>
    <row r="431">
      <c r="H431" s="48"/>
    </row>
    <row r="432">
      <c r="H432" s="48"/>
    </row>
    <row r="433">
      <c r="H433" s="48"/>
    </row>
    <row r="434">
      <c r="H434" s="48"/>
    </row>
    <row r="435">
      <c r="H435" s="48"/>
    </row>
    <row r="436">
      <c r="H436" s="48"/>
    </row>
    <row r="437">
      <c r="H437" s="48"/>
    </row>
    <row r="438">
      <c r="H438" s="48"/>
    </row>
    <row r="439">
      <c r="H439" s="48"/>
    </row>
    <row r="440">
      <c r="H440" s="48"/>
    </row>
    <row r="441">
      <c r="H441" s="48"/>
    </row>
    <row r="442">
      <c r="H442" s="48"/>
    </row>
    <row r="443">
      <c r="H443" s="48"/>
    </row>
    <row r="444">
      <c r="H444" s="48"/>
    </row>
    <row r="445">
      <c r="H445" s="48"/>
    </row>
    <row r="446">
      <c r="H446" s="48"/>
    </row>
    <row r="447">
      <c r="H447" s="48"/>
    </row>
    <row r="448">
      <c r="H448" s="48"/>
    </row>
    <row r="449">
      <c r="H449" s="48"/>
    </row>
    <row r="450">
      <c r="H450" s="48"/>
    </row>
    <row r="451">
      <c r="H451" s="48"/>
    </row>
    <row r="452">
      <c r="H452" s="48"/>
    </row>
    <row r="453">
      <c r="H453" s="48"/>
    </row>
    <row r="454">
      <c r="H454" s="48"/>
    </row>
    <row r="455">
      <c r="H455" s="48"/>
    </row>
    <row r="456">
      <c r="H456" s="48"/>
    </row>
    <row r="457">
      <c r="H457" s="48"/>
    </row>
    <row r="458">
      <c r="H458" s="48"/>
    </row>
    <row r="459">
      <c r="H459" s="48"/>
    </row>
    <row r="460">
      <c r="H460" s="48"/>
    </row>
    <row r="461">
      <c r="H461" s="48"/>
    </row>
    <row r="462">
      <c r="H462" s="48"/>
    </row>
    <row r="463">
      <c r="H463" s="48"/>
    </row>
    <row r="464">
      <c r="H464" s="48"/>
    </row>
    <row r="465">
      <c r="H465" s="48"/>
    </row>
    <row r="466">
      <c r="H466" s="48"/>
    </row>
    <row r="467">
      <c r="H467" s="48"/>
    </row>
    <row r="468">
      <c r="H468" s="48"/>
    </row>
    <row r="469">
      <c r="H469" s="48"/>
    </row>
    <row r="470">
      <c r="H470" s="48"/>
    </row>
    <row r="471">
      <c r="H471" s="48"/>
    </row>
    <row r="472">
      <c r="H472" s="48"/>
    </row>
    <row r="473">
      <c r="H473" s="48"/>
    </row>
    <row r="474">
      <c r="H474" s="48"/>
    </row>
    <row r="475">
      <c r="H475" s="48"/>
    </row>
    <row r="476">
      <c r="H476" s="48"/>
    </row>
    <row r="477">
      <c r="H477" s="48"/>
    </row>
    <row r="478">
      <c r="H478" s="48"/>
    </row>
    <row r="479">
      <c r="H479" s="48"/>
    </row>
    <row r="480">
      <c r="H480" s="48"/>
    </row>
    <row r="481">
      <c r="H481" s="48"/>
    </row>
    <row r="482">
      <c r="H482" s="48"/>
    </row>
    <row r="483">
      <c r="H483" s="48"/>
    </row>
    <row r="484">
      <c r="H484" s="48"/>
    </row>
    <row r="485">
      <c r="H485" s="48"/>
    </row>
    <row r="486">
      <c r="H486" s="48"/>
    </row>
    <row r="487">
      <c r="H487" s="48"/>
    </row>
    <row r="488">
      <c r="H488" s="48"/>
    </row>
    <row r="489">
      <c r="H489" s="48"/>
    </row>
    <row r="490">
      <c r="H490" s="48"/>
    </row>
    <row r="491">
      <c r="H491" s="48"/>
    </row>
    <row r="492">
      <c r="H492" s="48"/>
    </row>
    <row r="493">
      <c r="H493" s="48"/>
    </row>
    <row r="494">
      <c r="H494" s="48"/>
    </row>
    <row r="495">
      <c r="H495" s="48"/>
    </row>
    <row r="496">
      <c r="H496" s="48"/>
    </row>
    <row r="497">
      <c r="H497" s="48"/>
    </row>
    <row r="498">
      <c r="H498" s="48"/>
    </row>
    <row r="499">
      <c r="H499" s="48"/>
    </row>
    <row r="500">
      <c r="H500" s="48"/>
    </row>
    <row r="501">
      <c r="H501" s="48"/>
    </row>
    <row r="502">
      <c r="H502" s="48"/>
    </row>
    <row r="503">
      <c r="H503" s="48"/>
    </row>
    <row r="504">
      <c r="H504" s="48"/>
    </row>
    <row r="505">
      <c r="H505" s="48"/>
    </row>
    <row r="506">
      <c r="H506" s="48"/>
    </row>
    <row r="507">
      <c r="H507" s="48"/>
    </row>
    <row r="508">
      <c r="H508" s="48"/>
    </row>
    <row r="509">
      <c r="H509" s="48"/>
    </row>
    <row r="510">
      <c r="H510" s="48"/>
    </row>
    <row r="511">
      <c r="H511" s="48"/>
    </row>
    <row r="512">
      <c r="H512" s="48"/>
    </row>
    <row r="513">
      <c r="H513" s="48"/>
    </row>
    <row r="514">
      <c r="H514" s="48"/>
    </row>
    <row r="515">
      <c r="H515" s="48"/>
    </row>
    <row r="516">
      <c r="H516" s="48"/>
    </row>
    <row r="517">
      <c r="H517" s="48"/>
    </row>
    <row r="518">
      <c r="H518" s="48"/>
    </row>
    <row r="519">
      <c r="H519" s="48"/>
    </row>
    <row r="520">
      <c r="H520" s="48"/>
    </row>
    <row r="521">
      <c r="H521" s="48"/>
    </row>
    <row r="522">
      <c r="H522" s="48"/>
    </row>
    <row r="523">
      <c r="H523" s="48"/>
    </row>
    <row r="524">
      <c r="H524" s="48"/>
    </row>
    <row r="525">
      <c r="H525" s="48"/>
    </row>
    <row r="526">
      <c r="H526" s="48"/>
    </row>
    <row r="527">
      <c r="H527" s="48"/>
    </row>
    <row r="528">
      <c r="H528" s="48"/>
    </row>
    <row r="529">
      <c r="H529" s="48"/>
    </row>
    <row r="530">
      <c r="H530" s="48"/>
    </row>
    <row r="531">
      <c r="H531" s="48"/>
    </row>
    <row r="532">
      <c r="H532" s="48"/>
    </row>
    <row r="533">
      <c r="H533" s="48"/>
    </row>
    <row r="534">
      <c r="H534" s="48"/>
    </row>
    <row r="535">
      <c r="H535" s="48"/>
    </row>
    <row r="536">
      <c r="H536" s="48"/>
    </row>
    <row r="537">
      <c r="H537" s="48"/>
    </row>
    <row r="538">
      <c r="H538" s="48"/>
    </row>
    <row r="539">
      <c r="H539" s="48"/>
    </row>
    <row r="540">
      <c r="H540" s="48"/>
    </row>
    <row r="541">
      <c r="H541" s="48"/>
    </row>
    <row r="542">
      <c r="H542" s="48"/>
    </row>
    <row r="543">
      <c r="H543" s="48"/>
    </row>
    <row r="544">
      <c r="H544" s="48"/>
    </row>
    <row r="545">
      <c r="H545" s="48"/>
    </row>
    <row r="546">
      <c r="H546" s="48"/>
    </row>
    <row r="547">
      <c r="H547" s="48"/>
    </row>
    <row r="548">
      <c r="H548" s="48"/>
    </row>
    <row r="549">
      <c r="H549" s="48"/>
    </row>
    <row r="550">
      <c r="H550" s="48"/>
    </row>
    <row r="551">
      <c r="H551" s="48"/>
    </row>
    <row r="552">
      <c r="H552" s="48"/>
    </row>
    <row r="553">
      <c r="H553" s="48"/>
    </row>
    <row r="554">
      <c r="H554" s="48"/>
    </row>
    <row r="555">
      <c r="H555" s="48"/>
    </row>
    <row r="556">
      <c r="H556" s="48"/>
    </row>
    <row r="557">
      <c r="H557" s="48"/>
    </row>
    <row r="558">
      <c r="H558" s="48"/>
    </row>
    <row r="559">
      <c r="H559" s="48"/>
    </row>
    <row r="560">
      <c r="H560" s="48"/>
    </row>
    <row r="561">
      <c r="H561" s="48"/>
    </row>
    <row r="562">
      <c r="H562" s="48"/>
    </row>
    <row r="563">
      <c r="H563" s="48"/>
    </row>
    <row r="564">
      <c r="H564" s="48"/>
    </row>
    <row r="565">
      <c r="H565" s="48"/>
    </row>
    <row r="566">
      <c r="H566" s="48"/>
    </row>
    <row r="567">
      <c r="H567" s="48"/>
    </row>
    <row r="568">
      <c r="H568" s="48"/>
    </row>
    <row r="569">
      <c r="H569" s="48"/>
    </row>
    <row r="570">
      <c r="H570" s="48"/>
    </row>
    <row r="571">
      <c r="H571" s="48"/>
    </row>
    <row r="572">
      <c r="H572" s="48"/>
    </row>
    <row r="573">
      <c r="H573" s="48"/>
    </row>
    <row r="574">
      <c r="H574" s="48"/>
    </row>
    <row r="575">
      <c r="H575" s="48"/>
    </row>
    <row r="576">
      <c r="H576" s="48"/>
    </row>
    <row r="577">
      <c r="H577" s="48"/>
    </row>
    <row r="578">
      <c r="H578" s="48"/>
    </row>
    <row r="579">
      <c r="H579" s="48"/>
    </row>
    <row r="580">
      <c r="H580" s="48"/>
    </row>
    <row r="581">
      <c r="H581" s="48"/>
    </row>
    <row r="582">
      <c r="H582" s="48"/>
    </row>
    <row r="583">
      <c r="H583" s="48"/>
    </row>
    <row r="584">
      <c r="H584" s="48"/>
    </row>
    <row r="585">
      <c r="H585" s="48"/>
    </row>
    <row r="586">
      <c r="H586" s="48"/>
    </row>
    <row r="587">
      <c r="H587" s="48"/>
    </row>
    <row r="588">
      <c r="H588" s="48"/>
    </row>
    <row r="589">
      <c r="H589" s="48"/>
    </row>
    <row r="590">
      <c r="H590" s="48"/>
    </row>
    <row r="591">
      <c r="H591" s="48"/>
    </row>
    <row r="592">
      <c r="H592" s="48"/>
    </row>
    <row r="593">
      <c r="H593" s="48"/>
    </row>
    <row r="594">
      <c r="H594" s="48"/>
    </row>
    <row r="595">
      <c r="H595" s="48"/>
    </row>
    <row r="596">
      <c r="H596" s="48"/>
    </row>
    <row r="597">
      <c r="H597" s="48"/>
    </row>
    <row r="598">
      <c r="H598" s="48"/>
    </row>
    <row r="599">
      <c r="H599" s="48"/>
    </row>
    <row r="600">
      <c r="H600" s="48"/>
    </row>
    <row r="601">
      <c r="H601" s="48"/>
    </row>
    <row r="602">
      <c r="H602" s="48"/>
    </row>
    <row r="603">
      <c r="H603" s="48"/>
    </row>
    <row r="604">
      <c r="H604" s="48"/>
    </row>
    <row r="605">
      <c r="H605" s="48"/>
    </row>
    <row r="606">
      <c r="H606" s="48"/>
    </row>
    <row r="607">
      <c r="H607" s="48"/>
    </row>
    <row r="608">
      <c r="H608" s="48"/>
    </row>
    <row r="609">
      <c r="H609" s="48"/>
    </row>
    <row r="610">
      <c r="H610" s="48"/>
    </row>
    <row r="611">
      <c r="H611" s="48"/>
    </row>
    <row r="612">
      <c r="H612" s="48"/>
    </row>
    <row r="613">
      <c r="H613" s="48"/>
    </row>
    <row r="614">
      <c r="H614" s="48"/>
    </row>
    <row r="615">
      <c r="H615" s="48"/>
    </row>
    <row r="616">
      <c r="H616" s="48"/>
    </row>
    <row r="617">
      <c r="H617" s="48"/>
    </row>
    <row r="618">
      <c r="H618" s="48"/>
    </row>
    <row r="619">
      <c r="H619" s="48"/>
    </row>
    <row r="620">
      <c r="H620" s="48"/>
    </row>
    <row r="621">
      <c r="H621" s="48"/>
    </row>
    <row r="622">
      <c r="H622" s="48"/>
    </row>
    <row r="623">
      <c r="H623" s="48"/>
    </row>
    <row r="624">
      <c r="H624" s="48"/>
    </row>
    <row r="625">
      <c r="H625" s="48"/>
    </row>
    <row r="626">
      <c r="H626" s="48"/>
    </row>
    <row r="627">
      <c r="H627" s="48"/>
    </row>
    <row r="628">
      <c r="H628" s="48"/>
    </row>
    <row r="629">
      <c r="H629" s="48"/>
    </row>
    <row r="630">
      <c r="H630" s="48"/>
    </row>
    <row r="631">
      <c r="H631" s="48"/>
    </row>
    <row r="632">
      <c r="H632" s="48"/>
    </row>
    <row r="633">
      <c r="H633" s="48"/>
    </row>
    <row r="634">
      <c r="H634" s="48"/>
    </row>
    <row r="635">
      <c r="H635" s="48"/>
    </row>
    <row r="636">
      <c r="H636" s="48"/>
    </row>
    <row r="637">
      <c r="H637" s="48"/>
    </row>
    <row r="638">
      <c r="H638" s="48"/>
    </row>
    <row r="639">
      <c r="H639" s="48"/>
    </row>
    <row r="640">
      <c r="H640" s="48"/>
    </row>
    <row r="641">
      <c r="H641" s="48"/>
    </row>
    <row r="642">
      <c r="H642" s="48"/>
    </row>
    <row r="643">
      <c r="H643" s="48"/>
    </row>
    <row r="644">
      <c r="H644" s="48"/>
    </row>
    <row r="645">
      <c r="H645" s="48"/>
    </row>
    <row r="646">
      <c r="H646" s="48"/>
    </row>
    <row r="647">
      <c r="H647" s="48"/>
    </row>
    <row r="648">
      <c r="H648" s="48"/>
    </row>
    <row r="649">
      <c r="H649" s="48"/>
    </row>
    <row r="650">
      <c r="H650" s="48"/>
    </row>
    <row r="651">
      <c r="H651" s="48"/>
    </row>
    <row r="652">
      <c r="H652" s="48"/>
    </row>
    <row r="653">
      <c r="H653" s="48"/>
    </row>
    <row r="654">
      <c r="H654" s="48"/>
    </row>
    <row r="655">
      <c r="H655" s="48"/>
    </row>
    <row r="656">
      <c r="H656" s="48"/>
    </row>
    <row r="657">
      <c r="H657" s="48"/>
    </row>
    <row r="658">
      <c r="H658" s="48"/>
    </row>
    <row r="659">
      <c r="H659" s="48"/>
    </row>
    <row r="660">
      <c r="H660" s="48"/>
    </row>
    <row r="661">
      <c r="H661" s="48"/>
    </row>
    <row r="662">
      <c r="H662" s="48"/>
    </row>
    <row r="663">
      <c r="H663" s="48"/>
    </row>
    <row r="664">
      <c r="H664" s="48"/>
    </row>
    <row r="665">
      <c r="H665" s="48"/>
    </row>
    <row r="666">
      <c r="H666" s="48"/>
    </row>
    <row r="667">
      <c r="H667" s="48"/>
    </row>
    <row r="668">
      <c r="H668" s="48"/>
    </row>
    <row r="669">
      <c r="H669" s="48"/>
    </row>
    <row r="670">
      <c r="H670" s="48"/>
    </row>
    <row r="671">
      <c r="H671" s="48"/>
    </row>
    <row r="672">
      <c r="H672" s="48"/>
    </row>
    <row r="673">
      <c r="H673" s="48"/>
    </row>
    <row r="674">
      <c r="H674" s="48"/>
    </row>
    <row r="675">
      <c r="H675" s="48"/>
    </row>
    <row r="676">
      <c r="H676" s="48"/>
    </row>
    <row r="677">
      <c r="H677" s="48"/>
    </row>
    <row r="678">
      <c r="H678" s="48"/>
    </row>
    <row r="679">
      <c r="H679" s="48"/>
    </row>
    <row r="680">
      <c r="H680" s="48"/>
    </row>
    <row r="681">
      <c r="H681" s="48"/>
    </row>
    <row r="682">
      <c r="H682" s="48"/>
    </row>
    <row r="683">
      <c r="H683" s="48"/>
    </row>
    <row r="684">
      <c r="H684" s="48"/>
    </row>
    <row r="685">
      <c r="H685" s="48"/>
    </row>
    <row r="686">
      <c r="H686" s="48"/>
    </row>
    <row r="687">
      <c r="H687" s="48"/>
    </row>
    <row r="688">
      <c r="H688" s="48"/>
    </row>
    <row r="689">
      <c r="H689" s="48"/>
    </row>
    <row r="690">
      <c r="H690" s="48"/>
    </row>
    <row r="691">
      <c r="H691" s="48"/>
    </row>
    <row r="692">
      <c r="H692" s="48"/>
    </row>
    <row r="693">
      <c r="H693" s="48"/>
    </row>
    <row r="694">
      <c r="H694" s="48"/>
    </row>
    <row r="695">
      <c r="H695" s="48"/>
    </row>
    <row r="696">
      <c r="H696" s="48"/>
    </row>
    <row r="697">
      <c r="H697" s="48"/>
    </row>
    <row r="698">
      <c r="H698" s="48"/>
    </row>
    <row r="699">
      <c r="H699" s="48"/>
    </row>
    <row r="700">
      <c r="H700" s="48"/>
    </row>
    <row r="701">
      <c r="H701" s="48"/>
    </row>
    <row r="702">
      <c r="H702" s="48"/>
    </row>
    <row r="703">
      <c r="H703" s="48"/>
    </row>
    <row r="704">
      <c r="H704" s="48"/>
    </row>
    <row r="705">
      <c r="H705" s="48"/>
    </row>
    <row r="706">
      <c r="H706" s="48"/>
    </row>
    <row r="707">
      <c r="H707" s="48"/>
    </row>
    <row r="708">
      <c r="H708" s="48"/>
    </row>
    <row r="709">
      <c r="H709" s="48"/>
    </row>
    <row r="710">
      <c r="H710" s="48"/>
    </row>
    <row r="711">
      <c r="H711" s="48"/>
    </row>
    <row r="712">
      <c r="H712" s="48"/>
    </row>
    <row r="713">
      <c r="H713" s="48"/>
    </row>
    <row r="714">
      <c r="H714" s="48"/>
    </row>
    <row r="715">
      <c r="H715" s="48"/>
    </row>
    <row r="716">
      <c r="H716" s="48"/>
    </row>
    <row r="717">
      <c r="H717" s="48"/>
    </row>
    <row r="718">
      <c r="H718" s="48"/>
    </row>
    <row r="719">
      <c r="H719" s="48"/>
    </row>
    <row r="720">
      <c r="H720" s="48"/>
    </row>
    <row r="721">
      <c r="H721" s="48"/>
    </row>
    <row r="722">
      <c r="H722" s="48"/>
    </row>
    <row r="723">
      <c r="H723" s="48"/>
    </row>
    <row r="724">
      <c r="H724" s="48"/>
    </row>
    <row r="725">
      <c r="H725" s="48"/>
    </row>
    <row r="726">
      <c r="H726" s="48"/>
    </row>
    <row r="727">
      <c r="H727" s="48"/>
    </row>
    <row r="728">
      <c r="H728" s="48"/>
    </row>
    <row r="729">
      <c r="H729" s="48"/>
    </row>
    <row r="730">
      <c r="H730" s="48"/>
    </row>
    <row r="731">
      <c r="H731" s="48"/>
    </row>
    <row r="732">
      <c r="H732" s="48"/>
    </row>
    <row r="733">
      <c r="H733" s="48"/>
    </row>
    <row r="734">
      <c r="H734" s="48"/>
    </row>
    <row r="735">
      <c r="H735" s="48"/>
    </row>
    <row r="736">
      <c r="H736" s="48"/>
    </row>
    <row r="737">
      <c r="H737" s="48"/>
    </row>
    <row r="738">
      <c r="H738" s="48"/>
    </row>
    <row r="739">
      <c r="H739" s="48"/>
    </row>
    <row r="740">
      <c r="H740" s="48"/>
    </row>
    <row r="741">
      <c r="H741" s="48"/>
    </row>
    <row r="742">
      <c r="H742" s="48"/>
    </row>
    <row r="743">
      <c r="H743" s="48"/>
    </row>
    <row r="744">
      <c r="H744" s="48"/>
    </row>
    <row r="745">
      <c r="H745" s="48"/>
    </row>
    <row r="746">
      <c r="H746" s="48"/>
    </row>
    <row r="747">
      <c r="H747" s="48"/>
    </row>
    <row r="748">
      <c r="H748" s="48"/>
    </row>
    <row r="749">
      <c r="H749" s="48"/>
    </row>
    <row r="750">
      <c r="H750" s="48"/>
    </row>
    <row r="751">
      <c r="H751" s="48"/>
    </row>
    <row r="752">
      <c r="H752" s="48"/>
    </row>
    <row r="753">
      <c r="H753" s="48"/>
    </row>
    <row r="754">
      <c r="H754" s="48"/>
    </row>
    <row r="755">
      <c r="H755" s="48"/>
    </row>
    <row r="756">
      <c r="H756" s="48"/>
    </row>
    <row r="757">
      <c r="H757" s="48"/>
    </row>
    <row r="758">
      <c r="H758" s="48"/>
    </row>
    <row r="759">
      <c r="H759" s="48"/>
    </row>
    <row r="760">
      <c r="H760" s="48"/>
    </row>
    <row r="761">
      <c r="H761" s="48"/>
    </row>
    <row r="762">
      <c r="H762" s="48"/>
    </row>
    <row r="763">
      <c r="H763" s="48"/>
    </row>
    <row r="764">
      <c r="H764" s="48"/>
    </row>
    <row r="765">
      <c r="H765" s="48"/>
    </row>
    <row r="766">
      <c r="H766" s="48"/>
    </row>
    <row r="767">
      <c r="H767" s="48"/>
    </row>
    <row r="768">
      <c r="H768" s="48"/>
    </row>
    <row r="769">
      <c r="H769" s="48"/>
    </row>
    <row r="770">
      <c r="H770" s="48"/>
    </row>
    <row r="771">
      <c r="H771" s="48"/>
    </row>
    <row r="772">
      <c r="H772" s="48"/>
    </row>
    <row r="773">
      <c r="H773" s="48"/>
    </row>
    <row r="774">
      <c r="H774" s="48"/>
    </row>
    <row r="775">
      <c r="H775" s="48"/>
    </row>
    <row r="776">
      <c r="H776" s="48"/>
    </row>
    <row r="777">
      <c r="H777" s="48"/>
    </row>
    <row r="778">
      <c r="H778" s="48"/>
    </row>
    <row r="779">
      <c r="H779" s="48"/>
    </row>
    <row r="780">
      <c r="H780" s="48"/>
    </row>
    <row r="781">
      <c r="H781" s="48"/>
    </row>
    <row r="782">
      <c r="H782" s="48"/>
    </row>
    <row r="783">
      <c r="H783" s="48"/>
    </row>
    <row r="784">
      <c r="H784" s="48"/>
    </row>
    <row r="785">
      <c r="H785" s="48"/>
    </row>
    <row r="786">
      <c r="H786" s="48"/>
    </row>
    <row r="787">
      <c r="H787" s="48"/>
    </row>
    <row r="788">
      <c r="H788" s="48"/>
    </row>
    <row r="789">
      <c r="H789" s="48"/>
    </row>
    <row r="790">
      <c r="H790" s="48"/>
    </row>
    <row r="791">
      <c r="H791" s="48"/>
    </row>
    <row r="792">
      <c r="H792" s="48"/>
    </row>
    <row r="793">
      <c r="H793" s="48"/>
    </row>
    <row r="794">
      <c r="H794" s="48"/>
    </row>
    <row r="795">
      <c r="H795" s="48"/>
    </row>
    <row r="796">
      <c r="H796" s="48"/>
    </row>
    <row r="797">
      <c r="H797" s="48"/>
    </row>
    <row r="798">
      <c r="H798" s="48"/>
    </row>
    <row r="799">
      <c r="H799" s="48"/>
    </row>
    <row r="800">
      <c r="H800" s="48"/>
    </row>
    <row r="801">
      <c r="H801" s="48"/>
    </row>
    <row r="802">
      <c r="H802" s="48"/>
    </row>
    <row r="803">
      <c r="H803" s="48"/>
    </row>
    <row r="804">
      <c r="H804" s="48"/>
    </row>
    <row r="805">
      <c r="H805" s="48"/>
    </row>
    <row r="806">
      <c r="H806" s="48"/>
    </row>
    <row r="807">
      <c r="H807" s="48"/>
    </row>
    <row r="808">
      <c r="H808" s="48"/>
    </row>
    <row r="809">
      <c r="H809" s="48"/>
    </row>
    <row r="810">
      <c r="H810" s="48"/>
    </row>
    <row r="811">
      <c r="H811" s="48"/>
    </row>
    <row r="812">
      <c r="H812" s="48"/>
    </row>
    <row r="813">
      <c r="H813" s="48"/>
    </row>
    <row r="814">
      <c r="H814" s="48"/>
    </row>
    <row r="815">
      <c r="H815" s="48"/>
    </row>
    <row r="816">
      <c r="H816" s="48"/>
    </row>
    <row r="817">
      <c r="H817" s="48"/>
    </row>
    <row r="818">
      <c r="H818" s="48"/>
    </row>
    <row r="819">
      <c r="H819" s="48"/>
    </row>
    <row r="820">
      <c r="H820" s="48"/>
    </row>
    <row r="821">
      <c r="H821" s="48"/>
    </row>
    <row r="822">
      <c r="H822" s="48"/>
    </row>
    <row r="823">
      <c r="H823" s="48"/>
    </row>
    <row r="824">
      <c r="H824" s="48"/>
    </row>
    <row r="825">
      <c r="H825" s="48"/>
    </row>
    <row r="826">
      <c r="H826" s="48"/>
    </row>
    <row r="827">
      <c r="H827" s="48"/>
    </row>
    <row r="828">
      <c r="H828" s="48"/>
    </row>
    <row r="829">
      <c r="H829" s="48"/>
    </row>
    <row r="830">
      <c r="H830" s="48"/>
    </row>
    <row r="831">
      <c r="H831" s="48"/>
    </row>
    <row r="832">
      <c r="H832" s="48"/>
    </row>
    <row r="833">
      <c r="H833" s="48"/>
    </row>
    <row r="834">
      <c r="H834" s="48"/>
    </row>
    <row r="835">
      <c r="H835" s="48"/>
    </row>
    <row r="836">
      <c r="H836" s="48"/>
    </row>
    <row r="837">
      <c r="H837" s="48"/>
    </row>
    <row r="838">
      <c r="H838" s="48"/>
    </row>
    <row r="839">
      <c r="H839" s="48"/>
    </row>
    <row r="840">
      <c r="H840" s="48"/>
    </row>
    <row r="841">
      <c r="H841" s="48"/>
    </row>
    <row r="842">
      <c r="H842" s="48"/>
    </row>
    <row r="843">
      <c r="H843" s="48"/>
    </row>
    <row r="844">
      <c r="H844" s="48"/>
    </row>
    <row r="845">
      <c r="H845" s="48"/>
    </row>
    <row r="846">
      <c r="H846" s="48"/>
    </row>
    <row r="847">
      <c r="H847" s="48"/>
    </row>
    <row r="848">
      <c r="H848" s="48"/>
    </row>
    <row r="849">
      <c r="H849" s="48"/>
    </row>
    <row r="850">
      <c r="H850" s="48"/>
    </row>
    <row r="851">
      <c r="H851" s="48"/>
    </row>
    <row r="852">
      <c r="H852" s="48"/>
    </row>
    <row r="853">
      <c r="H853" s="48"/>
    </row>
    <row r="854">
      <c r="H854" s="48"/>
    </row>
    <row r="855">
      <c r="H855" s="48"/>
    </row>
    <row r="856">
      <c r="H856" s="48"/>
    </row>
    <row r="857">
      <c r="H857" s="48"/>
    </row>
    <row r="858">
      <c r="H858" s="48"/>
    </row>
    <row r="859">
      <c r="H859" s="48"/>
    </row>
    <row r="860">
      <c r="H860" s="48"/>
    </row>
    <row r="861">
      <c r="H861" s="48"/>
    </row>
    <row r="862">
      <c r="H862" s="48"/>
    </row>
    <row r="863">
      <c r="H863" s="48"/>
    </row>
    <row r="864">
      <c r="H864" s="48"/>
    </row>
    <row r="865">
      <c r="H865" s="48"/>
    </row>
    <row r="866">
      <c r="H866" s="48"/>
    </row>
    <row r="867">
      <c r="H867" s="48"/>
    </row>
    <row r="868">
      <c r="H868" s="48"/>
    </row>
    <row r="869">
      <c r="H869" s="48"/>
    </row>
    <row r="870">
      <c r="H870" s="48"/>
    </row>
    <row r="871">
      <c r="H871" s="48"/>
    </row>
    <row r="872">
      <c r="H872" s="48"/>
    </row>
    <row r="873">
      <c r="H873" s="48"/>
    </row>
    <row r="874">
      <c r="H874" s="48"/>
    </row>
    <row r="875">
      <c r="H875" s="48"/>
    </row>
    <row r="876">
      <c r="H876" s="48"/>
    </row>
    <row r="877">
      <c r="H877" s="48"/>
    </row>
    <row r="878">
      <c r="H878" s="48"/>
    </row>
    <row r="879">
      <c r="H879" s="48"/>
    </row>
    <row r="880">
      <c r="H880" s="48"/>
    </row>
    <row r="881">
      <c r="H881" s="48"/>
    </row>
    <row r="882">
      <c r="H882" s="48"/>
    </row>
    <row r="883">
      <c r="H883" s="48"/>
    </row>
    <row r="884">
      <c r="H884" s="48"/>
    </row>
    <row r="885">
      <c r="H885" s="48"/>
    </row>
    <row r="886">
      <c r="H886" s="48"/>
    </row>
    <row r="887">
      <c r="H887" s="48"/>
    </row>
    <row r="888">
      <c r="H888" s="48"/>
    </row>
    <row r="889">
      <c r="H889" s="48"/>
    </row>
    <row r="890">
      <c r="H890" s="48"/>
    </row>
    <row r="891">
      <c r="H891" s="48"/>
    </row>
    <row r="892">
      <c r="H892" s="48"/>
    </row>
    <row r="893">
      <c r="H893" s="48"/>
    </row>
    <row r="894">
      <c r="H894" s="48"/>
    </row>
    <row r="895">
      <c r="H895" s="48"/>
    </row>
    <row r="896">
      <c r="H896" s="48"/>
    </row>
    <row r="897">
      <c r="H897" s="48"/>
    </row>
    <row r="898">
      <c r="H898" s="48"/>
    </row>
    <row r="899">
      <c r="H899" s="48"/>
    </row>
    <row r="900">
      <c r="H900" s="48"/>
    </row>
    <row r="901">
      <c r="H901" s="48"/>
    </row>
    <row r="902">
      <c r="H902" s="48"/>
    </row>
    <row r="903">
      <c r="H903" s="48"/>
    </row>
    <row r="904">
      <c r="H904" s="48"/>
    </row>
    <row r="905">
      <c r="H905" s="48"/>
    </row>
    <row r="906">
      <c r="H906" s="48"/>
    </row>
    <row r="907">
      <c r="H907" s="48"/>
    </row>
    <row r="908">
      <c r="H908" s="48"/>
    </row>
    <row r="909">
      <c r="H909" s="48"/>
    </row>
    <row r="910">
      <c r="H910" s="48"/>
    </row>
    <row r="911">
      <c r="H911" s="48"/>
    </row>
    <row r="912">
      <c r="H912" s="48"/>
    </row>
    <row r="913">
      <c r="H913" s="48"/>
    </row>
    <row r="914">
      <c r="H914" s="48"/>
    </row>
    <row r="915">
      <c r="H915" s="48"/>
    </row>
    <row r="916">
      <c r="H916" s="48"/>
    </row>
    <row r="917">
      <c r="H917" s="48"/>
    </row>
    <row r="918">
      <c r="H918" s="48"/>
    </row>
    <row r="919">
      <c r="H919" s="48"/>
    </row>
    <row r="920">
      <c r="H920" s="48"/>
    </row>
    <row r="921">
      <c r="H921" s="48"/>
    </row>
    <row r="922">
      <c r="H922" s="48"/>
    </row>
    <row r="923">
      <c r="H923" s="48"/>
    </row>
    <row r="924">
      <c r="H924" s="48"/>
    </row>
    <row r="925">
      <c r="H925" s="48"/>
    </row>
    <row r="926">
      <c r="H926" s="48"/>
    </row>
    <row r="927">
      <c r="H927" s="48"/>
    </row>
    <row r="928">
      <c r="H928" s="48"/>
    </row>
    <row r="929">
      <c r="H929" s="48"/>
    </row>
    <row r="930">
      <c r="H930" s="48"/>
    </row>
    <row r="931">
      <c r="H931" s="48"/>
    </row>
    <row r="932">
      <c r="H932" s="48"/>
    </row>
    <row r="933">
      <c r="H933" s="48"/>
    </row>
    <row r="934">
      <c r="H934" s="48"/>
    </row>
    <row r="935">
      <c r="H935" s="48"/>
    </row>
    <row r="936">
      <c r="H936" s="48"/>
    </row>
    <row r="937">
      <c r="H937" s="48"/>
    </row>
    <row r="938">
      <c r="H938" s="48"/>
    </row>
    <row r="939">
      <c r="H939" s="48"/>
    </row>
    <row r="940">
      <c r="H940" s="48"/>
    </row>
    <row r="941">
      <c r="H941" s="48"/>
    </row>
    <row r="942">
      <c r="H942" s="48"/>
    </row>
    <row r="943">
      <c r="H943" s="48"/>
    </row>
    <row r="944">
      <c r="H944" s="48"/>
    </row>
    <row r="945">
      <c r="H945" s="48"/>
    </row>
    <row r="946">
      <c r="H946" s="48"/>
    </row>
    <row r="947">
      <c r="H947" s="48"/>
    </row>
    <row r="948">
      <c r="H948" s="48"/>
    </row>
    <row r="949">
      <c r="H949" s="48"/>
    </row>
    <row r="950">
      <c r="H950" s="48"/>
    </row>
    <row r="951">
      <c r="H951" s="48"/>
    </row>
    <row r="952">
      <c r="H952" s="48"/>
    </row>
    <row r="953">
      <c r="H953" s="48"/>
    </row>
    <row r="954">
      <c r="H954" s="48"/>
    </row>
    <row r="955">
      <c r="H955" s="48"/>
    </row>
    <row r="956">
      <c r="H956" s="48"/>
    </row>
    <row r="957">
      <c r="H957" s="48"/>
    </row>
    <row r="958">
      <c r="H958" s="48"/>
    </row>
    <row r="959">
      <c r="H959" s="48"/>
    </row>
    <row r="960">
      <c r="H960" s="48"/>
    </row>
    <row r="961">
      <c r="H961" s="48"/>
    </row>
    <row r="962">
      <c r="H962" s="48"/>
    </row>
    <row r="963">
      <c r="H963" s="48"/>
    </row>
    <row r="964">
      <c r="H964" s="48"/>
    </row>
    <row r="965">
      <c r="H965" s="48"/>
    </row>
    <row r="966">
      <c r="H966" s="48"/>
    </row>
    <row r="967">
      <c r="H967" s="48"/>
    </row>
    <row r="968">
      <c r="H968" s="48"/>
    </row>
    <row r="969">
      <c r="H969" s="48"/>
    </row>
    <row r="970">
      <c r="H970" s="48"/>
    </row>
    <row r="971">
      <c r="H971" s="48"/>
    </row>
    <row r="972">
      <c r="H972" s="48"/>
    </row>
    <row r="973">
      <c r="H973" s="48"/>
    </row>
    <row r="974">
      <c r="H974" s="48"/>
    </row>
    <row r="975">
      <c r="H975" s="48"/>
    </row>
    <row r="976">
      <c r="H976" s="48"/>
    </row>
    <row r="977">
      <c r="H977" s="48"/>
    </row>
    <row r="978">
      <c r="H978" s="48"/>
    </row>
    <row r="979">
      <c r="H979" s="48"/>
    </row>
    <row r="980">
      <c r="H980" s="48"/>
    </row>
    <row r="981">
      <c r="H981" s="48"/>
    </row>
    <row r="982">
      <c r="H982" s="48"/>
    </row>
    <row r="983">
      <c r="H983" s="48"/>
    </row>
    <row r="984">
      <c r="H984" s="48"/>
    </row>
    <row r="985">
      <c r="H985" s="48"/>
    </row>
    <row r="986">
      <c r="H986" s="48"/>
    </row>
    <row r="987">
      <c r="H987" s="48"/>
    </row>
    <row r="988">
      <c r="H988" s="48"/>
    </row>
    <row r="989">
      <c r="H989" s="48"/>
    </row>
    <row r="990">
      <c r="H990" s="48"/>
    </row>
    <row r="991">
      <c r="H991" s="48"/>
    </row>
    <row r="992">
      <c r="H992" s="48"/>
    </row>
    <row r="993">
      <c r="H993" s="48"/>
    </row>
    <row r="994">
      <c r="H994" s="48"/>
    </row>
    <row r="995">
      <c r="H995" s="48"/>
    </row>
  </sheetData>
  <mergeCells count="3">
    <mergeCell ref="A1:B1"/>
    <mergeCell ref="A2:B2"/>
    <mergeCell ref="A3:B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75"/>
  <cols>
    <col customWidth="1" min="1" max="1" width="43.75"/>
    <col customWidth="1" min="2" max="2" width="18.0"/>
    <col customWidth="1" min="3" max="3" width="37.38"/>
    <col customWidth="1" min="4" max="6" width="11.63"/>
    <col customWidth="1" min="7" max="7" width="13.5"/>
    <col customWidth="1" min="8" max="8" width="9.75"/>
    <col customWidth="1" min="9" max="27" width="7.63"/>
  </cols>
  <sheetData>
    <row r="1">
      <c r="A1" s="62" t="s">
        <v>134</v>
      </c>
      <c r="H1" s="48"/>
    </row>
    <row r="2">
      <c r="A2" s="62" t="s">
        <v>502</v>
      </c>
      <c r="H2" s="48"/>
    </row>
    <row r="3">
      <c r="A3" s="305">
        <v>44743.0</v>
      </c>
      <c r="H3" s="48"/>
    </row>
    <row r="4">
      <c r="H4" s="48"/>
    </row>
    <row r="5">
      <c r="A5" s="65"/>
      <c r="B5" s="306" t="s">
        <v>137</v>
      </c>
      <c r="C5" s="300"/>
      <c r="H5" s="48"/>
    </row>
    <row r="6">
      <c r="A6" s="68" t="s">
        <v>503</v>
      </c>
      <c r="B6" s="69"/>
      <c r="H6" s="48"/>
    </row>
    <row r="7">
      <c r="A7" s="307" t="s">
        <v>248</v>
      </c>
      <c r="B7" s="351">
        <v>-152362.24</v>
      </c>
      <c r="C7" s="307" t="s">
        <v>505</v>
      </c>
      <c r="H7" s="48"/>
    </row>
    <row r="8">
      <c r="A8" s="307" t="s">
        <v>506</v>
      </c>
      <c r="B8" s="69"/>
      <c r="H8" s="48"/>
    </row>
    <row r="9">
      <c r="A9" s="307" t="s">
        <v>507</v>
      </c>
      <c r="B9" s="309">
        <v>0.0</v>
      </c>
      <c r="H9" s="48"/>
    </row>
    <row r="10">
      <c r="A10" s="307" t="s">
        <v>509</v>
      </c>
      <c r="B10" s="309">
        <v>0.0</v>
      </c>
      <c r="H10" s="48"/>
    </row>
    <row r="11">
      <c r="A11" s="352" t="s">
        <v>540</v>
      </c>
      <c r="B11" s="309">
        <f>'YTD Balance Sheet'!I45</f>
        <v>0</v>
      </c>
      <c r="H11" s="48"/>
    </row>
    <row r="12">
      <c r="A12" s="307" t="s">
        <v>511</v>
      </c>
      <c r="B12" s="309">
        <v>0.0</v>
      </c>
      <c r="H12" s="48"/>
    </row>
    <row r="13">
      <c r="A13" s="307" t="s">
        <v>541</v>
      </c>
      <c r="B13" s="309">
        <f>'YTD Balance Sheet'!I44</f>
        <v>-294.99</v>
      </c>
      <c r="H13" s="48"/>
    </row>
    <row r="14">
      <c r="A14" s="307" t="s">
        <v>542</v>
      </c>
      <c r="B14" s="309">
        <f>'YTD Balance Sheet'!I46</f>
        <v>9135.08</v>
      </c>
      <c r="H14" s="48"/>
    </row>
    <row r="15">
      <c r="A15" s="307" t="s">
        <v>543</v>
      </c>
      <c r="B15" s="309">
        <f>'YTD Balance Sheet'!I47</f>
        <v>54594.69</v>
      </c>
      <c r="H15" s="48"/>
    </row>
    <row r="16">
      <c r="A16" s="68" t="s">
        <v>544</v>
      </c>
      <c r="B16" s="72">
        <f>SUM(B9:B15)</f>
        <v>63434.78</v>
      </c>
      <c r="H16" s="48"/>
    </row>
    <row r="17">
      <c r="A17" s="68" t="s">
        <v>516</v>
      </c>
      <c r="B17" s="72">
        <f>B7+B16</f>
        <v>-88927.46</v>
      </c>
      <c r="H17" s="48"/>
    </row>
    <row r="18">
      <c r="A18" s="68" t="s">
        <v>517</v>
      </c>
      <c r="B18" s="73"/>
      <c r="H18" s="48"/>
    </row>
    <row r="19">
      <c r="A19" s="307" t="s">
        <v>518</v>
      </c>
      <c r="B19" s="71">
        <v>0.0</v>
      </c>
      <c r="H19" s="48"/>
    </row>
    <row r="20">
      <c r="A20" s="68" t="s">
        <v>520</v>
      </c>
      <c r="B20" s="72">
        <f>B19</f>
        <v>0</v>
      </c>
      <c r="H20" s="48"/>
    </row>
    <row r="21">
      <c r="A21" s="68"/>
      <c r="B21" s="69"/>
      <c r="H21" s="48"/>
    </row>
    <row r="22">
      <c r="A22" s="68" t="s">
        <v>521</v>
      </c>
      <c r="B22" s="71">
        <f>B20+B17</f>
        <v>-88927.46</v>
      </c>
      <c r="H22" s="48"/>
    </row>
    <row r="23">
      <c r="A23" s="68" t="s">
        <v>522</v>
      </c>
      <c r="B23" s="353">
        <f>F34</f>
        <v>3238721.19</v>
      </c>
      <c r="H23" s="48"/>
    </row>
    <row r="24">
      <c r="A24" s="68" t="s">
        <v>523</v>
      </c>
      <c r="B24" s="71">
        <f>B22+B23</f>
        <v>3149793.73</v>
      </c>
      <c r="H24" s="48"/>
    </row>
    <row r="25">
      <c r="A25" s="67"/>
      <c r="B25" s="69"/>
      <c r="H25" s="48"/>
    </row>
    <row r="26">
      <c r="A26" s="318" t="s">
        <v>524</v>
      </c>
      <c r="B26" s="319"/>
      <c r="C26" s="320"/>
      <c r="D26" s="320"/>
      <c r="E26" s="320"/>
      <c r="F26" s="320"/>
      <c r="H26" s="48"/>
    </row>
    <row r="27">
      <c r="A27" s="307"/>
      <c r="B27" s="321"/>
      <c r="D27" s="321"/>
      <c r="E27" s="320"/>
      <c r="F27" s="320"/>
      <c r="H27" s="48"/>
    </row>
    <row r="28">
      <c r="A28" s="307"/>
      <c r="C28" s="321"/>
      <c r="D28" s="321"/>
      <c r="E28" s="320"/>
      <c r="F28" s="320"/>
      <c r="H28" s="48"/>
    </row>
    <row r="29">
      <c r="A29" s="307"/>
      <c r="B29" s="321"/>
      <c r="C29" s="321"/>
      <c r="D29" s="320"/>
      <c r="E29" s="320"/>
      <c r="F29" s="320"/>
      <c r="H29" s="48"/>
    </row>
    <row r="30">
      <c r="A30" s="318" t="s">
        <v>526</v>
      </c>
      <c r="B30" s="322">
        <f>SUM(B27:B29)</f>
        <v>0</v>
      </c>
      <c r="C30" s="323"/>
      <c r="D30" s="320"/>
      <c r="E30" s="320"/>
      <c r="F30" s="320"/>
      <c r="H30" s="48"/>
    </row>
    <row r="31">
      <c r="A31" s="324" t="s">
        <v>527</v>
      </c>
      <c r="B31" s="354">
        <f>B24+B30</f>
        <v>3149793.73</v>
      </c>
      <c r="D31" s="320"/>
      <c r="E31" s="320"/>
      <c r="F31" s="320"/>
      <c r="H31" s="48"/>
    </row>
    <row r="32">
      <c r="A32" s="320"/>
      <c r="B32" s="319"/>
      <c r="C32" s="320"/>
      <c r="D32" s="320"/>
      <c r="E32" s="320"/>
      <c r="F32" s="320"/>
      <c r="H32" s="48"/>
    </row>
    <row r="33">
      <c r="A33" s="327" t="s">
        <v>528</v>
      </c>
      <c r="B33" s="328" t="s">
        <v>545</v>
      </c>
      <c r="C33" s="328" t="s">
        <v>546</v>
      </c>
      <c r="D33" s="328" t="s">
        <v>529</v>
      </c>
      <c r="E33" s="329" t="s">
        <v>530</v>
      </c>
      <c r="F33" s="329" t="s">
        <v>137</v>
      </c>
      <c r="H33" s="43"/>
    </row>
    <row r="34">
      <c r="A34" s="330" t="s">
        <v>531</v>
      </c>
      <c r="B34" s="333">
        <v>832035.9</v>
      </c>
      <c r="C34" s="333">
        <v>22880.97</v>
      </c>
      <c r="D34" s="333">
        <v>2379895.02</v>
      </c>
      <c r="E34" s="333">
        <v>3909.3</v>
      </c>
      <c r="F34" s="332">
        <f t="shared" ref="F34:F35" si="2">SUM(B34:E34)</f>
        <v>3238721.19</v>
      </c>
      <c r="H34" s="43"/>
    </row>
    <row r="35">
      <c r="A35" s="330" t="s">
        <v>532</v>
      </c>
      <c r="B35" s="355" t="str">
        <f t="shared" ref="B35:C35" si="1">#REF!</f>
        <v>#REF!</v>
      </c>
      <c r="C35" s="355" t="str">
        <f t="shared" si="1"/>
        <v>#REF!</v>
      </c>
      <c r="D35" s="333">
        <f>'YTD Balance Sheet'!B9</f>
        <v>912214.78</v>
      </c>
      <c r="E35" s="333">
        <f>'YTD Balance Sheet'!F12</f>
        <v>4328.12</v>
      </c>
      <c r="F35" s="356" t="str">
        <f t="shared" si="2"/>
        <v>#REF!</v>
      </c>
      <c r="H35" s="48"/>
    </row>
    <row r="36">
      <c r="A36" s="335" t="s">
        <v>533</v>
      </c>
      <c r="B36" s="340" t="str">
        <f t="shared" ref="B36:D36" si="3">B35-B34</f>
        <v>#REF!</v>
      </c>
      <c r="C36" s="340" t="str">
        <f t="shared" si="3"/>
        <v>#REF!</v>
      </c>
      <c r="D36" s="336">
        <f t="shared" si="3"/>
        <v>-1467680.24</v>
      </c>
      <c r="E36" s="336">
        <f>SUM(E35-E34)</f>
        <v>418.82</v>
      </c>
      <c r="F36" s="357" t="str">
        <f>F35-F34</f>
        <v>#REF!</v>
      </c>
      <c r="H36" s="43"/>
    </row>
    <row r="37">
      <c r="A37" s="320"/>
      <c r="B37" s="338"/>
      <c r="C37" s="338"/>
      <c r="D37" s="338"/>
      <c r="E37" s="338"/>
      <c r="F37" s="319"/>
      <c r="H37" s="48"/>
    </row>
    <row r="38">
      <c r="A38" s="339" t="s">
        <v>534</v>
      </c>
      <c r="B38" s="340"/>
      <c r="C38" s="340"/>
      <c r="D38" s="340"/>
      <c r="E38" s="340"/>
      <c r="F38" s="340" t="s">
        <v>137</v>
      </c>
      <c r="H38" s="48"/>
    </row>
    <row r="39">
      <c r="A39" s="330" t="s">
        <v>547</v>
      </c>
      <c r="F39" s="333"/>
      <c r="G39" s="315"/>
      <c r="H39" s="48"/>
    </row>
    <row r="40">
      <c r="A40" s="341" t="s">
        <v>548</v>
      </c>
      <c r="B40" s="319"/>
      <c r="C40" s="319"/>
      <c r="D40" s="319"/>
      <c r="E40" s="319"/>
      <c r="F40" s="333"/>
      <c r="G40" s="315"/>
      <c r="H40" s="48"/>
    </row>
    <row r="41">
      <c r="A41" s="341" t="s">
        <v>549</v>
      </c>
      <c r="B41" s="319"/>
      <c r="C41" s="319"/>
      <c r="D41" s="319"/>
      <c r="E41" s="319"/>
      <c r="F41" s="333"/>
      <c r="G41" s="315"/>
      <c r="H41" s="48"/>
    </row>
    <row r="42">
      <c r="A42" s="341" t="s">
        <v>535</v>
      </c>
      <c r="B42" s="319"/>
      <c r="C42" s="319"/>
      <c r="D42" s="319"/>
      <c r="E42" s="319"/>
      <c r="F42" s="342" t="str">
        <f>-(#REF!+#REF!+#REF!)</f>
        <v>#REF!</v>
      </c>
      <c r="G42" s="315"/>
      <c r="H42" s="48"/>
    </row>
    <row r="43">
      <c r="A43" s="341" t="s">
        <v>536</v>
      </c>
      <c r="B43" s="319"/>
      <c r="C43" s="319"/>
      <c r="D43" s="319"/>
      <c r="E43" s="319"/>
      <c r="F43" s="343" t="str">
        <f>#REF!-'Bank Register'!G8+#REF!-#REF!+#REF!-#REF!+'Bank Register'!J358</f>
        <v>#REF!</v>
      </c>
      <c r="G43" s="315"/>
      <c r="H43" s="48"/>
    </row>
    <row r="44">
      <c r="A44" s="344" t="s">
        <v>537</v>
      </c>
      <c r="B44" s="331"/>
      <c r="C44" s="331"/>
      <c r="D44" s="345"/>
      <c r="E44" s="345"/>
      <c r="F44" s="346" t="str">
        <f>SUM(F39:F43)</f>
        <v>#REF!</v>
      </c>
      <c r="G44" s="300"/>
      <c r="H44" s="48"/>
    </row>
    <row r="45">
      <c r="A45" s="344" t="s">
        <v>550</v>
      </c>
      <c r="B45" s="331"/>
      <c r="C45" s="331"/>
      <c r="D45" s="345"/>
      <c r="E45" s="345"/>
      <c r="F45" s="346"/>
      <c r="G45" s="315"/>
      <c r="H45" s="48"/>
    </row>
    <row r="46">
      <c r="A46" s="335" t="s">
        <v>539</v>
      </c>
      <c r="B46" s="358"/>
      <c r="C46" s="358"/>
      <c r="D46" s="336"/>
      <c r="E46" s="336"/>
      <c r="F46" s="357" t="str">
        <f>F45+F44</f>
        <v>#REF!</v>
      </c>
      <c r="G46" s="359"/>
      <c r="H46" s="350"/>
    </row>
    <row r="47">
      <c r="F47" s="39" t="str">
        <f>F36-F46</f>
        <v>#REF!</v>
      </c>
      <c r="H47" s="48"/>
    </row>
    <row r="48">
      <c r="H48" s="48"/>
    </row>
    <row r="49">
      <c r="H49" s="48"/>
    </row>
    <row r="50">
      <c r="H50" s="48"/>
    </row>
    <row r="51">
      <c r="H51" s="48"/>
    </row>
    <row r="52">
      <c r="H52" s="48"/>
    </row>
    <row r="53">
      <c r="H53" s="48"/>
    </row>
    <row r="54">
      <c r="H54" s="48"/>
    </row>
    <row r="55">
      <c r="H55" s="48"/>
    </row>
    <row r="56">
      <c r="H56" s="48"/>
    </row>
    <row r="57">
      <c r="H57" s="48"/>
    </row>
    <row r="58">
      <c r="H58" s="48"/>
    </row>
    <row r="59">
      <c r="H59" s="48"/>
    </row>
    <row r="60">
      <c r="H60" s="48"/>
    </row>
    <row r="61">
      <c r="H61" s="48"/>
    </row>
    <row r="62">
      <c r="H62" s="48"/>
    </row>
    <row r="63">
      <c r="H63" s="48"/>
    </row>
    <row r="64">
      <c r="H64" s="48"/>
    </row>
    <row r="65">
      <c r="H65" s="48"/>
    </row>
    <row r="66">
      <c r="H66" s="48"/>
    </row>
    <row r="67">
      <c r="H67" s="48"/>
    </row>
    <row r="68">
      <c r="H68" s="48"/>
    </row>
    <row r="69">
      <c r="H69" s="48"/>
    </row>
    <row r="70">
      <c r="H70" s="48"/>
    </row>
    <row r="71">
      <c r="H71" s="48"/>
    </row>
    <row r="72">
      <c r="H72" s="48"/>
    </row>
    <row r="73">
      <c r="H73" s="48"/>
    </row>
    <row r="74">
      <c r="H74" s="48"/>
    </row>
    <row r="75">
      <c r="H75" s="48"/>
    </row>
    <row r="76">
      <c r="H76" s="48"/>
    </row>
    <row r="77">
      <c r="H77" s="48"/>
    </row>
    <row r="78">
      <c r="H78" s="48"/>
    </row>
    <row r="79">
      <c r="H79" s="48"/>
    </row>
    <row r="80">
      <c r="H80" s="48"/>
    </row>
    <row r="81">
      <c r="H81" s="48"/>
    </row>
    <row r="82">
      <c r="H82" s="48"/>
    </row>
    <row r="83">
      <c r="H83" s="48"/>
    </row>
    <row r="84">
      <c r="H84" s="48"/>
    </row>
    <row r="85">
      <c r="H85" s="48"/>
    </row>
    <row r="86">
      <c r="H86" s="48"/>
    </row>
    <row r="87">
      <c r="H87" s="48"/>
    </row>
    <row r="88">
      <c r="H88" s="48"/>
    </row>
    <row r="89">
      <c r="H89" s="48"/>
    </row>
    <row r="90">
      <c r="H90" s="48"/>
    </row>
    <row r="91">
      <c r="H91" s="48"/>
    </row>
    <row r="92">
      <c r="H92" s="48"/>
    </row>
    <row r="93">
      <c r="H93" s="48"/>
    </row>
    <row r="94">
      <c r="H94" s="48"/>
    </row>
    <row r="95">
      <c r="H95" s="48"/>
    </row>
    <row r="96">
      <c r="H96" s="48"/>
    </row>
    <row r="97">
      <c r="H97" s="48"/>
    </row>
    <row r="98">
      <c r="H98" s="48"/>
    </row>
    <row r="99">
      <c r="H99" s="48"/>
    </row>
    <row r="100">
      <c r="H100" s="48"/>
    </row>
    <row r="101">
      <c r="H101" s="48"/>
    </row>
    <row r="102">
      <c r="H102" s="48"/>
    </row>
    <row r="103">
      <c r="H103" s="48"/>
    </row>
    <row r="104">
      <c r="H104" s="48"/>
    </row>
    <row r="105">
      <c r="H105" s="48"/>
    </row>
    <row r="106">
      <c r="H106" s="48"/>
    </row>
    <row r="107">
      <c r="H107" s="48"/>
    </row>
    <row r="108">
      <c r="H108" s="48"/>
    </row>
    <row r="109">
      <c r="H109" s="48"/>
    </row>
    <row r="110">
      <c r="H110" s="48"/>
    </row>
    <row r="111">
      <c r="H111" s="48"/>
    </row>
    <row r="112">
      <c r="H112" s="48"/>
    </row>
    <row r="113">
      <c r="H113" s="48"/>
    </row>
    <row r="114">
      <c r="H114" s="48"/>
    </row>
    <row r="115">
      <c r="H115" s="48"/>
    </row>
    <row r="116">
      <c r="H116" s="48"/>
    </row>
    <row r="117">
      <c r="H117" s="48"/>
    </row>
    <row r="118">
      <c r="H118" s="48"/>
    </row>
    <row r="119">
      <c r="H119" s="48"/>
    </row>
    <row r="120">
      <c r="H120" s="48"/>
    </row>
    <row r="121">
      <c r="H121" s="48"/>
    </row>
    <row r="122">
      <c r="H122" s="48"/>
    </row>
    <row r="123">
      <c r="H123" s="48"/>
    </row>
    <row r="124">
      <c r="H124" s="48"/>
    </row>
    <row r="125">
      <c r="H125" s="48"/>
    </row>
    <row r="126">
      <c r="H126" s="48"/>
    </row>
    <row r="127">
      <c r="H127" s="48"/>
    </row>
    <row r="128">
      <c r="H128" s="48"/>
    </row>
    <row r="129">
      <c r="H129" s="48"/>
    </row>
    <row r="130">
      <c r="H130" s="48"/>
    </row>
    <row r="131">
      <c r="H131" s="48"/>
    </row>
    <row r="132">
      <c r="H132" s="48"/>
    </row>
    <row r="133">
      <c r="H133" s="48"/>
    </row>
    <row r="134">
      <c r="H134" s="48"/>
    </row>
    <row r="135">
      <c r="H135" s="48"/>
    </row>
    <row r="136">
      <c r="H136" s="48"/>
    </row>
    <row r="137">
      <c r="H137" s="48"/>
    </row>
    <row r="138">
      <c r="H138" s="48"/>
    </row>
    <row r="139">
      <c r="H139" s="48"/>
    </row>
    <row r="140">
      <c r="H140" s="48"/>
    </row>
    <row r="141">
      <c r="H141" s="48"/>
    </row>
    <row r="142">
      <c r="H142" s="48"/>
    </row>
    <row r="143">
      <c r="H143" s="48"/>
    </row>
    <row r="144">
      <c r="H144" s="48"/>
    </row>
    <row r="145">
      <c r="H145" s="48"/>
    </row>
    <row r="146">
      <c r="H146" s="48"/>
    </row>
    <row r="147">
      <c r="H147" s="48"/>
    </row>
    <row r="148">
      <c r="H148" s="48"/>
    </row>
    <row r="149">
      <c r="H149" s="48"/>
    </row>
    <row r="150">
      <c r="H150" s="48"/>
    </row>
    <row r="151">
      <c r="H151" s="48"/>
    </row>
    <row r="152">
      <c r="H152" s="48"/>
    </row>
    <row r="153">
      <c r="H153" s="48"/>
    </row>
    <row r="154">
      <c r="H154" s="48"/>
    </row>
    <row r="155">
      <c r="H155" s="48"/>
    </row>
    <row r="156">
      <c r="H156" s="48"/>
    </row>
    <row r="157">
      <c r="H157" s="48"/>
    </row>
    <row r="158">
      <c r="H158" s="48"/>
    </row>
    <row r="159">
      <c r="H159" s="48"/>
    </row>
    <row r="160">
      <c r="H160" s="48"/>
    </row>
    <row r="161">
      <c r="H161" s="48"/>
    </row>
    <row r="162">
      <c r="H162" s="48"/>
    </row>
    <row r="163">
      <c r="H163" s="48"/>
    </row>
    <row r="164">
      <c r="H164" s="48"/>
    </row>
    <row r="165">
      <c r="H165" s="48"/>
    </row>
    <row r="166">
      <c r="H166" s="48"/>
    </row>
    <row r="167">
      <c r="H167" s="48"/>
    </row>
    <row r="168">
      <c r="H168" s="48"/>
    </row>
    <row r="169">
      <c r="H169" s="48"/>
    </row>
    <row r="170">
      <c r="H170" s="48"/>
    </row>
    <row r="171">
      <c r="H171" s="48"/>
    </row>
    <row r="172">
      <c r="H172" s="48"/>
    </row>
    <row r="173">
      <c r="H173" s="48"/>
    </row>
    <row r="174">
      <c r="H174" s="48"/>
    </row>
    <row r="175">
      <c r="H175" s="48"/>
    </row>
    <row r="176">
      <c r="H176" s="48"/>
    </row>
    <row r="177">
      <c r="H177" s="48"/>
    </row>
    <row r="178">
      <c r="H178" s="48"/>
    </row>
    <row r="179">
      <c r="H179" s="48"/>
    </row>
    <row r="180">
      <c r="H180" s="48"/>
    </row>
    <row r="181">
      <c r="H181" s="48"/>
    </row>
    <row r="182">
      <c r="H182" s="48"/>
    </row>
    <row r="183">
      <c r="H183" s="48"/>
    </row>
    <row r="184">
      <c r="H184" s="48"/>
    </row>
    <row r="185">
      <c r="H185" s="48"/>
    </row>
    <row r="186">
      <c r="H186" s="48"/>
    </row>
    <row r="187">
      <c r="H187" s="48"/>
    </row>
    <row r="188">
      <c r="H188" s="48"/>
    </row>
    <row r="189">
      <c r="H189" s="48"/>
    </row>
    <row r="190">
      <c r="H190" s="48"/>
    </row>
    <row r="191">
      <c r="H191" s="48"/>
    </row>
    <row r="192">
      <c r="H192" s="48"/>
    </row>
    <row r="193">
      <c r="H193" s="48"/>
    </row>
    <row r="194">
      <c r="H194" s="48"/>
    </row>
    <row r="195">
      <c r="H195" s="48"/>
    </row>
    <row r="196">
      <c r="H196" s="48"/>
    </row>
    <row r="197">
      <c r="H197" s="48"/>
    </row>
    <row r="198">
      <c r="H198" s="48"/>
    </row>
    <row r="199">
      <c r="H199" s="48"/>
    </row>
    <row r="200">
      <c r="H200" s="48"/>
    </row>
    <row r="201">
      <c r="H201" s="48"/>
    </row>
    <row r="202">
      <c r="H202" s="48"/>
    </row>
    <row r="203">
      <c r="H203" s="48"/>
    </row>
    <row r="204">
      <c r="H204" s="48"/>
    </row>
    <row r="205">
      <c r="H205" s="48"/>
    </row>
    <row r="206">
      <c r="H206" s="48"/>
    </row>
    <row r="207">
      <c r="H207" s="48"/>
    </row>
    <row r="208">
      <c r="H208" s="48"/>
    </row>
    <row r="209">
      <c r="H209" s="48"/>
    </row>
    <row r="210">
      <c r="H210" s="48"/>
    </row>
    <row r="211">
      <c r="H211" s="48"/>
    </row>
    <row r="212">
      <c r="H212" s="48"/>
    </row>
    <row r="213">
      <c r="H213" s="48"/>
    </row>
    <row r="214">
      <c r="H214" s="48"/>
    </row>
    <row r="215">
      <c r="H215" s="48"/>
    </row>
    <row r="216">
      <c r="H216" s="48"/>
    </row>
    <row r="217">
      <c r="H217" s="48"/>
    </row>
    <row r="218">
      <c r="H218" s="48"/>
    </row>
    <row r="219">
      <c r="H219" s="48"/>
    </row>
    <row r="220">
      <c r="H220" s="48"/>
    </row>
    <row r="221">
      <c r="H221" s="48"/>
    </row>
    <row r="222">
      <c r="H222" s="48"/>
    </row>
    <row r="223">
      <c r="H223" s="48"/>
    </row>
    <row r="224">
      <c r="H224" s="48"/>
    </row>
    <row r="225">
      <c r="H225" s="48"/>
    </row>
    <row r="226">
      <c r="H226" s="48"/>
    </row>
    <row r="227">
      <c r="H227" s="48"/>
    </row>
    <row r="228">
      <c r="H228" s="48"/>
    </row>
    <row r="229">
      <c r="H229" s="48"/>
    </row>
    <row r="230">
      <c r="H230" s="48"/>
    </row>
    <row r="231">
      <c r="H231" s="48"/>
    </row>
    <row r="232">
      <c r="H232" s="48"/>
    </row>
    <row r="233">
      <c r="H233" s="48"/>
    </row>
    <row r="234">
      <c r="H234" s="48"/>
    </row>
    <row r="235">
      <c r="H235" s="48"/>
    </row>
    <row r="236">
      <c r="H236" s="48"/>
    </row>
    <row r="237">
      <c r="H237" s="48"/>
    </row>
    <row r="238">
      <c r="H238" s="48"/>
    </row>
    <row r="239">
      <c r="H239" s="48"/>
    </row>
    <row r="240">
      <c r="H240" s="48"/>
    </row>
    <row r="241">
      <c r="H241" s="48"/>
    </row>
    <row r="242">
      <c r="H242" s="48"/>
    </row>
    <row r="243">
      <c r="H243" s="48"/>
    </row>
    <row r="244">
      <c r="H244" s="48"/>
    </row>
    <row r="245">
      <c r="H245" s="48"/>
    </row>
    <row r="246">
      <c r="H246" s="48"/>
    </row>
    <row r="247">
      <c r="H247" s="48"/>
    </row>
    <row r="248">
      <c r="H248" s="48"/>
    </row>
    <row r="249">
      <c r="H249" s="48"/>
    </row>
    <row r="250">
      <c r="H250" s="48"/>
    </row>
    <row r="251">
      <c r="H251" s="48"/>
    </row>
    <row r="252">
      <c r="H252" s="48"/>
    </row>
    <row r="253">
      <c r="H253" s="48"/>
    </row>
    <row r="254">
      <c r="H254" s="48"/>
    </row>
    <row r="255">
      <c r="H255" s="48"/>
    </row>
    <row r="256">
      <c r="H256" s="48"/>
    </row>
    <row r="257">
      <c r="H257" s="48"/>
    </row>
    <row r="258">
      <c r="H258" s="48"/>
    </row>
    <row r="259">
      <c r="H259" s="48"/>
    </row>
    <row r="260">
      <c r="H260" s="48"/>
    </row>
    <row r="261">
      <c r="H261" s="48"/>
    </row>
    <row r="262">
      <c r="H262" s="48"/>
    </row>
    <row r="263">
      <c r="H263" s="48"/>
    </row>
    <row r="264">
      <c r="H264" s="48"/>
    </row>
    <row r="265">
      <c r="H265" s="48"/>
    </row>
    <row r="266">
      <c r="H266" s="48"/>
    </row>
    <row r="267">
      <c r="H267" s="48"/>
    </row>
    <row r="268">
      <c r="H268" s="48"/>
    </row>
    <row r="269">
      <c r="H269" s="48"/>
    </row>
    <row r="270">
      <c r="H270" s="48"/>
    </row>
    <row r="271">
      <c r="H271" s="48"/>
    </row>
    <row r="272">
      <c r="H272" s="48"/>
    </row>
    <row r="273">
      <c r="H273" s="48"/>
    </row>
    <row r="274">
      <c r="H274" s="48"/>
    </row>
    <row r="275">
      <c r="H275" s="48"/>
    </row>
    <row r="276">
      <c r="H276" s="48"/>
    </row>
    <row r="277">
      <c r="H277" s="48"/>
    </row>
    <row r="278">
      <c r="H278" s="48"/>
    </row>
    <row r="279">
      <c r="H279" s="48"/>
    </row>
    <row r="280">
      <c r="H280" s="48"/>
    </row>
    <row r="281">
      <c r="H281" s="48"/>
    </row>
    <row r="282">
      <c r="H282" s="48"/>
    </row>
    <row r="283">
      <c r="H283" s="48"/>
    </row>
    <row r="284">
      <c r="H284" s="48"/>
    </row>
    <row r="285">
      <c r="H285" s="48"/>
    </row>
    <row r="286">
      <c r="H286" s="48"/>
    </row>
    <row r="287">
      <c r="H287" s="48"/>
    </row>
    <row r="288">
      <c r="H288" s="48"/>
    </row>
    <row r="289">
      <c r="H289" s="48"/>
    </row>
    <row r="290">
      <c r="H290" s="48"/>
    </row>
    <row r="291">
      <c r="H291" s="48"/>
    </row>
    <row r="292">
      <c r="H292" s="48"/>
    </row>
    <row r="293">
      <c r="H293" s="48"/>
    </row>
    <row r="294">
      <c r="H294" s="48"/>
    </row>
    <row r="295">
      <c r="H295" s="48"/>
    </row>
    <row r="296">
      <c r="H296" s="48"/>
    </row>
    <row r="297">
      <c r="H297" s="48"/>
    </row>
    <row r="298">
      <c r="H298" s="48"/>
    </row>
    <row r="299">
      <c r="H299" s="48"/>
    </row>
    <row r="300">
      <c r="H300" s="48"/>
    </row>
    <row r="301">
      <c r="H301" s="48"/>
    </row>
    <row r="302">
      <c r="H302" s="48"/>
    </row>
    <row r="303">
      <c r="H303" s="48"/>
    </row>
    <row r="304">
      <c r="H304" s="48"/>
    </row>
    <row r="305">
      <c r="H305" s="48"/>
    </row>
    <row r="306">
      <c r="H306" s="48"/>
    </row>
    <row r="307">
      <c r="H307" s="48"/>
    </row>
    <row r="308">
      <c r="H308" s="48"/>
    </row>
    <row r="309">
      <c r="H309" s="48"/>
    </row>
    <row r="310">
      <c r="H310" s="48"/>
    </row>
    <row r="311">
      <c r="H311" s="48"/>
    </row>
    <row r="312">
      <c r="H312" s="48"/>
    </row>
    <row r="313">
      <c r="H313" s="48"/>
    </row>
    <row r="314">
      <c r="H314" s="48"/>
    </row>
    <row r="315">
      <c r="H315" s="48"/>
    </row>
    <row r="316">
      <c r="H316" s="48"/>
    </row>
    <row r="317">
      <c r="H317" s="48"/>
    </row>
    <row r="318">
      <c r="H318" s="48"/>
    </row>
    <row r="319">
      <c r="H319" s="48"/>
    </row>
    <row r="320">
      <c r="H320" s="48"/>
    </row>
    <row r="321">
      <c r="H321" s="48"/>
    </row>
    <row r="322">
      <c r="H322" s="48"/>
    </row>
    <row r="323">
      <c r="H323" s="48"/>
    </row>
    <row r="324">
      <c r="H324" s="48"/>
    </row>
    <row r="325">
      <c r="H325" s="48"/>
    </row>
    <row r="326">
      <c r="H326" s="48"/>
    </row>
    <row r="327">
      <c r="H327" s="48"/>
    </row>
    <row r="328">
      <c r="H328" s="48"/>
    </row>
    <row r="329">
      <c r="H329" s="48"/>
    </row>
    <row r="330">
      <c r="H330" s="48"/>
    </row>
    <row r="331">
      <c r="H331" s="48"/>
    </row>
    <row r="332">
      <c r="H332" s="48"/>
    </row>
    <row r="333">
      <c r="H333" s="48"/>
    </row>
    <row r="334">
      <c r="H334" s="48"/>
    </row>
    <row r="335">
      <c r="H335" s="48"/>
    </row>
    <row r="336">
      <c r="H336" s="48"/>
    </row>
    <row r="337">
      <c r="H337" s="48"/>
    </row>
    <row r="338">
      <c r="H338" s="48"/>
    </row>
    <row r="339">
      <c r="H339" s="48"/>
    </row>
    <row r="340">
      <c r="H340" s="48"/>
    </row>
    <row r="341">
      <c r="H341" s="48"/>
    </row>
    <row r="342">
      <c r="H342" s="48"/>
    </row>
    <row r="343">
      <c r="H343" s="48"/>
    </row>
    <row r="344">
      <c r="H344" s="48"/>
    </row>
    <row r="345">
      <c r="H345" s="48"/>
    </row>
    <row r="346">
      <c r="H346" s="48"/>
    </row>
    <row r="347">
      <c r="H347" s="48"/>
    </row>
    <row r="348">
      <c r="H348" s="48"/>
    </row>
    <row r="349">
      <c r="H349" s="48"/>
    </row>
    <row r="350">
      <c r="H350" s="48"/>
    </row>
    <row r="351">
      <c r="H351" s="48"/>
    </row>
    <row r="352">
      <c r="H352" s="48"/>
    </row>
    <row r="353">
      <c r="H353" s="48"/>
    </row>
    <row r="354">
      <c r="H354" s="48"/>
    </row>
    <row r="355">
      <c r="H355" s="48"/>
    </row>
    <row r="356">
      <c r="H356" s="48"/>
    </row>
    <row r="357">
      <c r="H357" s="48"/>
    </row>
    <row r="358">
      <c r="H358" s="48"/>
    </row>
    <row r="359">
      <c r="H359" s="48"/>
    </row>
    <row r="360">
      <c r="H360" s="48"/>
    </row>
    <row r="361">
      <c r="H361" s="48"/>
    </row>
    <row r="362">
      <c r="H362" s="48"/>
    </row>
    <row r="363">
      <c r="H363" s="48"/>
    </row>
    <row r="364">
      <c r="H364" s="48"/>
    </row>
    <row r="365">
      <c r="H365" s="48"/>
    </row>
    <row r="366">
      <c r="H366" s="48"/>
    </row>
    <row r="367">
      <c r="H367" s="48"/>
    </row>
    <row r="368">
      <c r="H368" s="48"/>
    </row>
    <row r="369">
      <c r="H369" s="48"/>
    </row>
    <row r="370">
      <c r="H370" s="48"/>
    </row>
    <row r="371">
      <c r="H371" s="48"/>
    </row>
    <row r="372">
      <c r="H372" s="48"/>
    </row>
    <row r="373">
      <c r="H373" s="48"/>
    </row>
    <row r="374">
      <c r="H374" s="48"/>
    </row>
    <row r="375">
      <c r="H375" s="48"/>
    </row>
    <row r="376">
      <c r="H376" s="48"/>
    </row>
    <row r="377">
      <c r="H377" s="48"/>
    </row>
    <row r="378">
      <c r="H378" s="48"/>
    </row>
    <row r="379">
      <c r="H379" s="48"/>
    </row>
    <row r="380">
      <c r="H380" s="48"/>
    </row>
    <row r="381">
      <c r="H381" s="48"/>
    </row>
    <row r="382">
      <c r="H382" s="48"/>
    </row>
    <row r="383">
      <c r="H383" s="48"/>
    </row>
    <row r="384">
      <c r="H384" s="48"/>
    </row>
    <row r="385">
      <c r="H385" s="48"/>
    </row>
    <row r="386">
      <c r="H386" s="48"/>
    </row>
    <row r="387">
      <c r="H387" s="48"/>
    </row>
    <row r="388">
      <c r="H388" s="48"/>
    </row>
    <row r="389">
      <c r="H389" s="48"/>
    </row>
    <row r="390">
      <c r="H390" s="48"/>
    </row>
    <row r="391">
      <c r="H391" s="48"/>
    </row>
    <row r="392">
      <c r="H392" s="48"/>
    </row>
    <row r="393">
      <c r="H393" s="48"/>
    </row>
    <row r="394">
      <c r="H394" s="48"/>
    </row>
    <row r="395">
      <c r="H395" s="48"/>
    </row>
    <row r="396">
      <c r="H396" s="48"/>
    </row>
    <row r="397">
      <c r="H397" s="48"/>
    </row>
    <row r="398">
      <c r="H398" s="48"/>
    </row>
    <row r="399">
      <c r="H399" s="48"/>
    </row>
    <row r="400">
      <c r="H400" s="48"/>
    </row>
    <row r="401">
      <c r="H401" s="48"/>
    </row>
    <row r="402">
      <c r="H402" s="48"/>
    </row>
    <row r="403">
      <c r="H403" s="48"/>
    </row>
    <row r="404">
      <c r="H404" s="48"/>
    </row>
    <row r="405">
      <c r="H405" s="48"/>
    </row>
    <row r="406">
      <c r="H406" s="48"/>
    </row>
    <row r="407">
      <c r="H407" s="48"/>
    </row>
    <row r="408">
      <c r="H408" s="48"/>
    </row>
    <row r="409">
      <c r="H409" s="48"/>
    </row>
    <row r="410">
      <c r="H410" s="48"/>
    </row>
    <row r="411">
      <c r="H411" s="48"/>
    </row>
    <row r="412">
      <c r="H412" s="48"/>
    </row>
    <row r="413">
      <c r="H413" s="48"/>
    </row>
    <row r="414">
      <c r="H414" s="48"/>
    </row>
    <row r="415">
      <c r="H415" s="48"/>
    </row>
    <row r="416">
      <c r="H416" s="48"/>
    </row>
    <row r="417">
      <c r="H417" s="48"/>
    </row>
    <row r="418">
      <c r="H418" s="48"/>
    </row>
    <row r="419">
      <c r="H419" s="48"/>
    </row>
    <row r="420">
      <c r="H420" s="48"/>
    </row>
    <row r="421">
      <c r="H421" s="48"/>
    </row>
    <row r="422">
      <c r="H422" s="48"/>
    </row>
    <row r="423">
      <c r="H423" s="48"/>
    </row>
    <row r="424">
      <c r="H424" s="48"/>
    </row>
    <row r="425">
      <c r="H425" s="48"/>
    </row>
    <row r="426">
      <c r="H426" s="48"/>
    </row>
    <row r="427">
      <c r="H427" s="48"/>
    </row>
    <row r="428">
      <c r="H428" s="48"/>
    </row>
    <row r="429">
      <c r="H429" s="48"/>
    </row>
    <row r="430">
      <c r="H430" s="48"/>
    </row>
    <row r="431">
      <c r="H431" s="48"/>
    </row>
    <row r="432">
      <c r="H432" s="48"/>
    </row>
    <row r="433">
      <c r="H433" s="48"/>
    </row>
    <row r="434">
      <c r="H434" s="48"/>
    </row>
    <row r="435">
      <c r="H435" s="48"/>
    </row>
    <row r="436">
      <c r="H436" s="48"/>
    </row>
    <row r="437">
      <c r="H437" s="48"/>
    </row>
    <row r="438">
      <c r="H438" s="48"/>
    </row>
    <row r="439">
      <c r="H439" s="48"/>
    </row>
    <row r="440">
      <c r="H440" s="48"/>
    </row>
    <row r="441">
      <c r="H441" s="48"/>
    </row>
    <row r="442">
      <c r="H442" s="48"/>
    </row>
    <row r="443">
      <c r="H443" s="48"/>
    </row>
    <row r="444">
      <c r="H444" s="48"/>
    </row>
    <row r="445">
      <c r="H445" s="48"/>
    </row>
    <row r="446">
      <c r="H446" s="48"/>
    </row>
    <row r="447">
      <c r="H447" s="48"/>
    </row>
    <row r="448">
      <c r="H448" s="48"/>
    </row>
    <row r="449">
      <c r="H449" s="48"/>
    </row>
    <row r="450">
      <c r="H450" s="48"/>
    </row>
    <row r="451">
      <c r="H451" s="48"/>
    </row>
    <row r="452">
      <c r="H452" s="48"/>
    </row>
    <row r="453">
      <c r="H453" s="48"/>
    </row>
    <row r="454">
      <c r="H454" s="48"/>
    </row>
    <row r="455">
      <c r="H455" s="48"/>
    </row>
    <row r="456">
      <c r="H456" s="48"/>
    </row>
    <row r="457">
      <c r="H457" s="48"/>
    </row>
    <row r="458">
      <c r="H458" s="48"/>
    </row>
    <row r="459">
      <c r="H459" s="48"/>
    </row>
    <row r="460">
      <c r="H460" s="48"/>
    </row>
    <row r="461">
      <c r="H461" s="48"/>
    </row>
    <row r="462">
      <c r="H462" s="48"/>
    </row>
    <row r="463">
      <c r="H463" s="48"/>
    </row>
    <row r="464">
      <c r="H464" s="48"/>
    </row>
    <row r="465">
      <c r="H465" s="48"/>
    </row>
    <row r="466">
      <c r="H466" s="48"/>
    </row>
    <row r="467">
      <c r="H467" s="48"/>
    </row>
    <row r="468">
      <c r="H468" s="48"/>
    </row>
    <row r="469">
      <c r="H469" s="48"/>
    </row>
    <row r="470">
      <c r="H470" s="48"/>
    </row>
    <row r="471">
      <c r="H471" s="48"/>
    </row>
    <row r="472">
      <c r="H472" s="48"/>
    </row>
    <row r="473">
      <c r="H473" s="48"/>
    </row>
    <row r="474">
      <c r="H474" s="48"/>
    </row>
    <row r="475">
      <c r="H475" s="48"/>
    </row>
    <row r="476">
      <c r="H476" s="48"/>
    </row>
    <row r="477">
      <c r="H477" s="48"/>
    </row>
    <row r="478">
      <c r="H478" s="48"/>
    </row>
    <row r="479">
      <c r="H479" s="48"/>
    </row>
    <row r="480">
      <c r="H480" s="48"/>
    </row>
    <row r="481">
      <c r="H481" s="48"/>
    </row>
    <row r="482">
      <c r="H482" s="48"/>
    </row>
    <row r="483">
      <c r="H483" s="48"/>
    </row>
    <row r="484">
      <c r="H484" s="48"/>
    </row>
    <row r="485">
      <c r="H485" s="48"/>
    </row>
    <row r="486">
      <c r="H486" s="48"/>
    </row>
    <row r="487">
      <c r="H487" s="48"/>
    </row>
    <row r="488">
      <c r="H488" s="48"/>
    </row>
    <row r="489">
      <c r="H489" s="48"/>
    </row>
    <row r="490">
      <c r="H490" s="48"/>
    </row>
    <row r="491">
      <c r="H491" s="48"/>
    </row>
    <row r="492">
      <c r="H492" s="48"/>
    </row>
    <row r="493">
      <c r="H493" s="48"/>
    </row>
    <row r="494">
      <c r="H494" s="48"/>
    </row>
    <row r="495">
      <c r="H495" s="48"/>
    </row>
    <row r="496">
      <c r="H496" s="48"/>
    </row>
    <row r="497">
      <c r="H497" s="48"/>
    </row>
    <row r="498">
      <c r="H498" s="48"/>
    </row>
    <row r="499">
      <c r="H499" s="48"/>
    </row>
    <row r="500">
      <c r="H500" s="48"/>
    </row>
    <row r="501">
      <c r="H501" s="48"/>
    </row>
    <row r="502">
      <c r="H502" s="48"/>
    </row>
    <row r="503">
      <c r="H503" s="48"/>
    </row>
    <row r="504">
      <c r="H504" s="48"/>
    </row>
    <row r="505">
      <c r="H505" s="48"/>
    </row>
    <row r="506">
      <c r="H506" s="48"/>
    </row>
    <row r="507">
      <c r="H507" s="48"/>
    </row>
    <row r="508">
      <c r="H508" s="48"/>
    </row>
    <row r="509">
      <c r="H509" s="48"/>
    </row>
    <row r="510">
      <c r="H510" s="48"/>
    </row>
    <row r="511">
      <c r="H511" s="48"/>
    </row>
    <row r="512">
      <c r="H512" s="48"/>
    </row>
    <row r="513">
      <c r="H513" s="48"/>
    </row>
    <row r="514">
      <c r="H514" s="48"/>
    </row>
    <row r="515">
      <c r="H515" s="48"/>
    </row>
    <row r="516">
      <c r="H516" s="48"/>
    </row>
    <row r="517">
      <c r="H517" s="48"/>
    </row>
    <row r="518">
      <c r="H518" s="48"/>
    </row>
    <row r="519">
      <c r="H519" s="48"/>
    </row>
    <row r="520">
      <c r="H520" s="48"/>
    </row>
    <row r="521">
      <c r="H521" s="48"/>
    </row>
    <row r="522">
      <c r="H522" s="48"/>
    </row>
    <row r="523">
      <c r="H523" s="48"/>
    </row>
    <row r="524">
      <c r="H524" s="48"/>
    </row>
    <row r="525">
      <c r="H525" s="48"/>
    </row>
    <row r="526">
      <c r="H526" s="48"/>
    </row>
    <row r="527">
      <c r="H527" s="48"/>
    </row>
    <row r="528">
      <c r="H528" s="48"/>
    </row>
    <row r="529">
      <c r="H529" s="48"/>
    </row>
    <row r="530">
      <c r="H530" s="48"/>
    </row>
    <row r="531">
      <c r="H531" s="48"/>
    </row>
    <row r="532">
      <c r="H532" s="48"/>
    </row>
    <row r="533">
      <c r="H533" s="48"/>
    </row>
    <row r="534">
      <c r="H534" s="48"/>
    </row>
    <row r="535">
      <c r="H535" s="48"/>
    </row>
    <row r="536">
      <c r="H536" s="48"/>
    </row>
    <row r="537">
      <c r="H537" s="48"/>
    </row>
    <row r="538">
      <c r="H538" s="48"/>
    </row>
    <row r="539">
      <c r="H539" s="48"/>
    </row>
    <row r="540">
      <c r="H540" s="48"/>
    </row>
    <row r="541">
      <c r="H541" s="48"/>
    </row>
    <row r="542">
      <c r="H542" s="48"/>
    </row>
    <row r="543">
      <c r="H543" s="48"/>
    </row>
    <row r="544">
      <c r="H544" s="48"/>
    </row>
    <row r="545">
      <c r="H545" s="48"/>
    </row>
    <row r="546">
      <c r="H546" s="48"/>
    </row>
    <row r="547">
      <c r="H547" s="48"/>
    </row>
    <row r="548">
      <c r="H548" s="48"/>
    </row>
    <row r="549">
      <c r="H549" s="48"/>
    </row>
    <row r="550">
      <c r="H550" s="48"/>
    </row>
    <row r="551">
      <c r="H551" s="48"/>
    </row>
    <row r="552">
      <c r="H552" s="48"/>
    </row>
    <row r="553">
      <c r="H553" s="48"/>
    </row>
    <row r="554">
      <c r="H554" s="48"/>
    </row>
    <row r="555">
      <c r="H555" s="48"/>
    </row>
    <row r="556">
      <c r="H556" s="48"/>
    </row>
    <row r="557">
      <c r="H557" s="48"/>
    </row>
    <row r="558">
      <c r="H558" s="48"/>
    </row>
    <row r="559">
      <c r="H559" s="48"/>
    </row>
    <row r="560">
      <c r="H560" s="48"/>
    </row>
    <row r="561">
      <c r="H561" s="48"/>
    </row>
    <row r="562">
      <c r="H562" s="48"/>
    </row>
    <row r="563">
      <c r="H563" s="48"/>
    </row>
    <row r="564">
      <c r="H564" s="48"/>
    </row>
    <row r="565">
      <c r="H565" s="48"/>
    </row>
    <row r="566">
      <c r="H566" s="48"/>
    </row>
    <row r="567">
      <c r="H567" s="48"/>
    </row>
    <row r="568">
      <c r="H568" s="48"/>
    </row>
    <row r="569">
      <c r="H569" s="48"/>
    </row>
    <row r="570">
      <c r="H570" s="48"/>
    </row>
    <row r="571">
      <c r="H571" s="48"/>
    </row>
    <row r="572">
      <c r="H572" s="48"/>
    </row>
    <row r="573">
      <c r="H573" s="48"/>
    </row>
    <row r="574">
      <c r="H574" s="48"/>
    </row>
    <row r="575">
      <c r="H575" s="48"/>
    </row>
    <row r="576">
      <c r="H576" s="48"/>
    </row>
    <row r="577">
      <c r="H577" s="48"/>
    </row>
    <row r="578">
      <c r="H578" s="48"/>
    </row>
    <row r="579">
      <c r="H579" s="48"/>
    </row>
    <row r="580">
      <c r="H580" s="48"/>
    </row>
    <row r="581">
      <c r="H581" s="48"/>
    </row>
    <row r="582">
      <c r="H582" s="48"/>
    </row>
    <row r="583">
      <c r="H583" s="48"/>
    </row>
    <row r="584">
      <c r="H584" s="48"/>
    </row>
    <row r="585">
      <c r="H585" s="48"/>
    </row>
    <row r="586">
      <c r="H586" s="48"/>
    </row>
    <row r="587">
      <c r="H587" s="48"/>
    </row>
    <row r="588">
      <c r="H588" s="48"/>
    </row>
    <row r="589">
      <c r="H589" s="48"/>
    </row>
    <row r="590">
      <c r="H590" s="48"/>
    </row>
    <row r="591">
      <c r="H591" s="48"/>
    </row>
    <row r="592">
      <c r="H592" s="48"/>
    </row>
    <row r="593">
      <c r="H593" s="48"/>
    </row>
    <row r="594">
      <c r="H594" s="48"/>
    </row>
    <row r="595">
      <c r="H595" s="48"/>
    </row>
    <row r="596">
      <c r="H596" s="48"/>
    </row>
    <row r="597">
      <c r="H597" s="48"/>
    </row>
    <row r="598">
      <c r="H598" s="48"/>
    </row>
    <row r="599">
      <c r="H599" s="48"/>
    </row>
    <row r="600">
      <c r="H600" s="48"/>
    </row>
    <row r="601">
      <c r="H601" s="48"/>
    </row>
    <row r="602">
      <c r="H602" s="48"/>
    </row>
    <row r="603">
      <c r="H603" s="48"/>
    </row>
    <row r="604">
      <c r="H604" s="48"/>
    </row>
    <row r="605">
      <c r="H605" s="48"/>
    </row>
    <row r="606">
      <c r="H606" s="48"/>
    </row>
    <row r="607">
      <c r="H607" s="48"/>
    </row>
    <row r="608">
      <c r="H608" s="48"/>
    </row>
    <row r="609">
      <c r="H609" s="48"/>
    </row>
    <row r="610">
      <c r="H610" s="48"/>
    </row>
    <row r="611">
      <c r="H611" s="48"/>
    </row>
    <row r="612">
      <c r="H612" s="48"/>
    </row>
    <row r="613">
      <c r="H613" s="48"/>
    </row>
    <row r="614">
      <c r="H614" s="48"/>
    </row>
    <row r="615">
      <c r="H615" s="48"/>
    </row>
    <row r="616">
      <c r="H616" s="48"/>
    </row>
    <row r="617">
      <c r="H617" s="48"/>
    </row>
    <row r="618">
      <c r="H618" s="48"/>
    </row>
    <row r="619">
      <c r="H619" s="48"/>
    </row>
    <row r="620">
      <c r="H620" s="48"/>
    </row>
    <row r="621">
      <c r="H621" s="48"/>
    </row>
    <row r="622">
      <c r="H622" s="48"/>
    </row>
    <row r="623">
      <c r="H623" s="48"/>
    </row>
    <row r="624">
      <c r="H624" s="48"/>
    </row>
    <row r="625">
      <c r="H625" s="48"/>
    </row>
    <row r="626">
      <c r="H626" s="48"/>
    </row>
    <row r="627">
      <c r="H627" s="48"/>
    </row>
    <row r="628">
      <c r="H628" s="48"/>
    </row>
    <row r="629">
      <c r="H629" s="48"/>
    </row>
    <row r="630">
      <c r="H630" s="48"/>
    </row>
    <row r="631">
      <c r="H631" s="48"/>
    </row>
    <row r="632">
      <c r="H632" s="48"/>
    </row>
    <row r="633">
      <c r="H633" s="48"/>
    </row>
    <row r="634">
      <c r="H634" s="48"/>
    </row>
    <row r="635">
      <c r="H635" s="48"/>
    </row>
    <row r="636">
      <c r="H636" s="48"/>
    </row>
    <row r="637">
      <c r="H637" s="48"/>
    </row>
    <row r="638">
      <c r="H638" s="48"/>
    </row>
    <row r="639">
      <c r="H639" s="48"/>
    </row>
    <row r="640">
      <c r="H640" s="48"/>
    </row>
    <row r="641">
      <c r="H641" s="48"/>
    </row>
    <row r="642">
      <c r="H642" s="48"/>
    </row>
    <row r="643">
      <c r="H643" s="48"/>
    </row>
    <row r="644">
      <c r="H644" s="48"/>
    </row>
    <row r="645">
      <c r="H645" s="48"/>
    </row>
    <row r="646">
      <c r="H646" s="48"/>
    </row>
    <row r="647">
      <c r="H647" s="48"/>
    </row>
    <row r="648">
      <c r="H648" s="48"/>
    </row>
    <row r="649">
      <c r="H649" s="48"/>
    </row>
    <row r="650">
      <c r="H650" s="48"/>
    </row>
    <row r="651">
      <c r="H651" s="48"/>
    </row>
    <row r="652">
      <c r="H652" s="48"/>
    </row>
    <row r="653">
      <c r="H653" s="48"/>
    </row>
    <row r="654">
      <c r="H654" s="48"/>
    </row>
    <row r="655">
      <c r="H655" s="48"/>
    </row>
    <row r="656">
      <c r="H656" s="48"/>
    </row>
    <row r="657">
      <c r="H657" s="48"/>
    </row>
    <row r="658">
      <c r="H658" s="48"/>
    </row>
    <row r="659">
      <c r="H659" s="48"/>
    </row>
    <row r="660">
      <c r="H660" s="48"/>
    </row>
    <row r="661">
      <c r="H661" s="48"/>
    </row>
    <row r="662">
      <c r="H662" s="48"/>
    </row>
    <row r="663">
      <c r="H663" s="48"/>
    </row>
    <row r="664">
      <c r="H664" s="48"/>
    </row>
    <row r="665">
      <c r="H665" s="48"/>
    </row>
    <row r="666">
      <c r="H666" s="48"/>
    </row>
    <row r="667">
      <c r="H667" s="48"/>
    </row>
    <row r="668">
      <c r="H668" s="48"/>
    </row>
    <row r="669">
      <c r="H669" s="48"/>
    </row>
    <row r="670">
      <c r="H670" s="48"/>
    </row>
    <row r="671">
      <c r="H671" s="48"/>
    </row>
    <row r="672">
      <c r="H672" s="48"/>
    </row>
    <row r="673">
      <c r="H673" s="48"/>
    </row>
    <row r="674">
      <c r="H674" s="48"/>
    </row>
    <row r="675">
      <c r="H675" s="48"/>
    </row>
    <row r="676">
      <c r="H676" s="48"/>
    </row>
    <row r="677">
      <c r="H677" s="48"/>
    </row>
    <row r="678">
      <c r="H678" s="48"/>
    </row>
    <row r="679">
      <c r="H679" s="48"/>
    </row>
    <row r="680">
      <c r="H680" s="48"/>
    </row>
    <row r="681">
      <c r="H681" s="48"/>
    </row>
    <row r="682">
      <c r="H682" s="48"/>
    </row>
    <row r="683">
      <c r="H683" s="48"/>
    </row>
    <row r="684">
      <c r="H684" s="48"/>
    </row>
    <row r="685">
      <c r="H685" s="48"/>
    </row>
    <row r="686">
      <c r="H686" s="48"/>
    </row>
    <row r="687">
      <c r="H687" s="48"/>
    </row>
    <row r="688">
      <c r="H688" s="48"/>
    </row>
    <row r="689">
      <c r="H689" s="48"/>
    </row>
    <row r="690">
      <c r="H690" s="48"/>
    </row>
    <row r="691">
      <c r="H691" s="48"/>
    </row>
    <row r="692">
      <c r="H692" s="48"/>
    </row>
    <row r="693">
      <c r="H693" s="48"/>
    </row>
    <row r="694">
      <c r="H694" s="48"/>
    </row>
    <row r="695">
      <c r="H695" s="48"/>
    </row>
    <row r="696">
      <c r="H696" s="48"/>
    </row>
    <row r="697">
      <c r="H697" s="48"/>
    </row>
    <row r="698">
      <c r="H698" s="48"/>
    </row>
    <row r="699">
      <c r="H699" s="48"/>
    </row>
    <row r="700">
      <c r="H700" s="48"/>
    </row>
    <row r="701">
      <c r="H701" s="48"/>
    </row>
    <row r="702">
      <c r="H702" s="48"/>
    </row>
    <row r="703">
      <c r="H703" s="48"/>
    </row>
    <row r="704">
      <c r="H704" s="48"/>
    </row>
    <row r="705">
      <c r="H705" s="48"/>
    </row>
    <row r="706">
      <c r="H706" s="48"/>
    </row>
    <row r="707">
      <c r="H707" s="48"/>
    </row>
    <row r="708">
      <c r="H708" s="48"/>
    </row>
    <row r="709">
      <c r="H709" s="48"/>
    </row>
    <row r="710">
      <c r="H710" s="48"/>
    </row>
    <row r="711">
      <c r="H711" s="48"/>
    </row>
    <row r="712">
      <c r="H712" s="48"/>
    </row>
    <row r="713">
      <c r="H713" s="48"/>
    </row>
    <row r="714">
      <c r="H714" s="48"/>
    </row>
    <row r="715">
      <c r="H715" s="48"/>
    </row>
    <row r="716">
      <c r="H716" s="48"/>
    </row>
    <row r="717">
      <c r="H717" s="48"/>
    </row>
    <row r="718">
      <c r="H718" s="48"/>
    </row>
    <row r="719">
      <c r="H719" s="48"/>
    </row>
    <row r="720">
      <c r="H720" s="48"/>
    </row>
    <row r="721">
      <c r="H721" s="48"/>
    </row>
    <row r="722">
      <c r="H722" s="48"/>
    </row>
    <row r="723">
      <c r="H723" s="48"/>
    </row>
    <row r="724">
      <c r="H724" s="48"/>
    </row>
    <row r="725">
      <c r="H725" s="48"/>
    </row>
    <row r="726">
      <c r="H726" s="48"/>
    </row>
    <row r="727">
      <c r="H727" s="48"/>
    </row>
    <row r="728">
      <c r="H728" s="48"/>
    </row>
    <row r="729">
      <c r="H729" s="48"/>
    </row>
    <row r="730">
      <c r="H730" s="48"/>
    </row>
    <row r="731">
      <c r="H731" s="48"/>
    </row>
    <row r="732">
      <c r="H732" s="48"/>
    </row>
    <row r="733">
      <c r="H733" s="48"/>
    </row>
    <row r="734">
      <c r="H734" s="48"/>
    </row>
    <row r="735">
      <c r="H735" s="48"/>
    </row>
    <row r="736">
      <c r="H736" s="48"/>
    </row>
    <row r="737">
      <c r="H737" s="48"/>
    </row>
    <row r="738">
      <c r="H738" s="48"/>
    </row>
    <row r="739">
      <c r="H739" s="48"/>
    </row>
    <row r="740">
      <c r="H740" s="48"/>
    </row>
    <row r="741">
      <c r="H741" s="48"/>
    </row>
    <row r="742">
      <c r="H742" s="48"/>
    </row>
    <row r="743">
      <c r="H743" s="48"/>
    </row>
    <row r="744">
      <c r="H744" s="48"/>
    </row>
    <row r="745">
      <c r="H745" s="48"/>
    </row>
    <row r="746">
      <c r="H746" s="48"/>
    </row>
    <row r="747">
      <c r="H747" s="48"/>
    </row>
    <row r="748">
      <c r="H748" s="48"/>
    </row>
    <row r="749">
      <c r="H749" s="48"/>
    </row>
    <row r="750">
      <c r="H750" s="48"/>
    </row>
    <row r="751">
      <c r="H751" s="48"/>
    </row>
    <row r="752">
      <c r="H752" s="48"/>
    </row>
    <row r="753">
      <c r="H753" s="48"/>
    </row>
    <row r="754">
      <c r="H754" s="48"/>
    </row>
    <row r="755">
      <c r="H755" s="48"/>
    </row>
    <row r="756">
      <c r="H756" s="48"/>
    </row>
    <row r="757">
      <c r="H757" s="48"/>
    </row>
    <row r="758">
      <c r="H758" s="48"/>
    </row>
    <row r="759">
      <c r="H759" s="48"/>
    </row>
    <row r="760">
      <c r="H760" s="48"/>
    </row>
    <row r="761">
      <c r="H761" s="48"/>
    </row>
    <row r="762">
      <c r="H762" s="48"/>
    </row>
    <row r="763">
      <c r="H763" s="48"/>
    </row>
    <row r="764">
      <c r="H764" s="48"/>
    </row>
    <row r="765">
      <c r="H765" s="48"/>
    </row>
    <row r="766">
      <c r="H766" s="48"/>
    </row>
    <row r="767">
      <c r="H767" s="48"/>
    </row>
    <row r="768">
      <c r="H768" s="48"/>
    </row>
    <row r="769">
      <c r="H769" s="48"/>
    </row>
    <row r="770">
      <c r="H770" s="48"/>
    </row>
    <row r="771">
      <c r="H771" s="48"/>
    </row>
    <row r="772">
      <c r="H772" s="48"/>
    </row>
    <row r="773">
      <c r="H773" s="48"/>
    </row>
    <row r="774">
      <c r="H774" s="48"/>
    </row>
    <row r="775">
      <c r="H775" s="48"/>
    </row>
    <row r="776">
      <c r="H776" s="48"/>
    </row>
    <row r="777">
      <c r="H777" s="48"/>
    </row>
    <row r="778">
      <c r="H778" s="48"/>
    </row>
    <row r="779">
      <c r="H779" s="48"/>
    </row>
    <row r="780">
      <c r="H780" s="48"/>
    </row>
    <row r="781">
      <c r="H781" s="48"/>
    </row>
    <row r="782">
      <c r="H782" s="48"/>
    </row>
    <row r="783">
      <c r="H783" s="48"/>
    </row>
    <row r="784">
      <c r="H784" s="48"/>
    </row>
    <row r="785">
      <c r="H785" s="48"/>
    </row>
    <row r="786">
      <c r="H786" s="48"/>
    </row>
    <row r="787">
      <c r="H787" s="48"/>
    </row>
    <row r="788">
      <c r="H788" s="48"/>
    </row>
    <row r="789">
      <c r="H789" s="48"/>
    </row>
    <row r="790">
      <c r="H790" s="48"/>
    </row>
    <row r="791">
      <c r="H791" s="48"/>
    </row>
    <row r="792">
      <c r="H792" s="48"/>
    </row>
    <row r="793">
      <c r="H793" s="48"/>
    </row>
    <row r="794">
      <c r="H794" s="48"/>
    </row>
    <row r="795">
      <c r="H795" s="48"/>
    </row>
    <row r="796">
      <c r="H796" s="48"/>
    </row>
    <row r="797">
      <c r="H797" s="48"/>
    </row>
    <row r="798">
      <c r="H798" s="48"/>
    </row>
    <row r="799">
      <c r="H799" s="48"/>
    </row>
    <row r="800">
      <c r="H800" s="48"/>
    </row>
    <row r="801">
      <c r="H801" s="48"/>
    </row>
    <row r="802">
      <c r="H802" s="48"/>
    </row>
    <row r="803">
      <c r="H803" s="48"/>
    </row>
    <row r="804">
      <c r="H804" s="48"/>
    </row>
    <row r="805">
      <c r="H805" s="48"/>
    </row>
    <row r="806">
      <c r="H806" s="48"/>
    </row>
    <row r="807">
      <c r="H807" s="48"/>
    </row>
    <row r="808">
      <c r="H808" s="48"/>
    </row>
    <row r="809">
      <c r="H809" s="48"/>
    </row>
    <row r="810">
      <c r="H810" s="48"/>
    </row>
    <row r="811">
      <c r="H811" s="48"/>
    </row>
    <row r="812">
      <c r="H812" s="48"/>
    </row>
    <row r="813">
      <c r="H813" s="48"/>
    </row>
    <row r="814">
      <c r="H814" s="48"/>
    </row>
    <row r="815">
      <c r="H815" s="48"/>
    </row>
    <row r="816">
      <c r="H816" s="48"/>
    </row>
    <row r="817">
      <c r="H817" s="48"/>
    </row>
    <row r="818">
      <c r="H818" s="48"/>
    </row>
    <row r="819">
      <c r="H819" s="48"/>
    </row>
    <row r="820">
      <c r="H820" s="48"/>
    </row>
    <row r="821">
      <c r="H821" s="48"/>
    </row>
    <row r="822">
      <c r="H822" s="48"/>
    </row>
    <row r="823">
      <c r="H823" s="48"/>
    </row>
    <row r="824">
      <c r="H824" s="48"/>
    </row>
    <row r="825">
      <c r="H825" s="48"/>
    </row>
    <row r="826">
      <c r="H826" s="48"/>
    </row>
    <row r="827">
      <c r="H827" s="48"/>
    </row>
    <row r="828">
      <c r="H828" s="48"/>
    </row>
    <row r="829">
      <c r="H829" s="48"/>
    </row>
    <row r="830">
      <c r="H830" s="48"/>
    </row>
    <row r="831">
      <c r="H831" s="48"/>
    </row>
    <row r="832">
      <c r="H832" s="48"/>
    </row>
    <row r="833">
      <c r="H833" s="48"/>
    </row>
    <row r="834">
      <c r="H834" s="48"/>
    </row>
    <row r="835">
      <c r="H835" s="48"/>
    </row>
    <row r="836">
      <c r="H836" s="48"/>
    </row>
    <row r="837">
      <c r="H837" s="48"/>
    </row>
    <row r="838">
      <c r="H838" s="48"/>
    </row>
    <row r="839">
      <c r="H839" s="48"/>
    </row>
    <row r="840">
      <c r="H840" s="48"/>
    </row>
    <row r="841">
      <c r="H841" s="48"/>
    </row>
    <row r="842">
      <c r="H842" s="48"/>
    </row>
    <row r="843">
      <c r="H843" s="48"/>
    </row>
    <row r="844">
      <c r="H844" s="48"/>
    </row>
    <row r="845">
      <c r="H845" s="48"/>
    </row>
    <row r="846">
      <c r="H846" s="48"/>
    </row>
    <row r="847">
      <c r="H847" s="48"/>
    </row>
    <row r="848">
      <c r="H848" s="48"/>
    </row>
    <row r="849">
      <c r="H849" s="48"/>
    </row>
    <row r="850">
      <c r="H850" s="48"/>
    </row>
    <row r="851">
      <c r="H851" s="48"/>
    </row>
    <row r="852">
      <c r="H852" s="48"/>
    </row>
    <row r="853">
      <c r="H853" s="48"/>
    </row>
    <row r="854">
      <c r="H854" s="48"/>
    </row>
    <row r="855">
      <c r="H855" s="48"/>
    </row>
    <row r="856">
      <c r="H856" s="48"/>
    </row>
    <row r="857">
      <c r="H857" s="48"/>
    </row>
    <row r="858">
      <c r="H858" s="48"/>
    </row>
    <row r="859">
      <c r="H859" s="48"/>
    </row>
    <row r="860">
      <c r="H860" s="48"/>
    </row>
    <row r="861">
      <c r="H861" s="48"/>
    </row>
    <row r="862">
      <c r="H862" s="48"/>
    </row>
    <row r="863">
      <c r="H863" s="48"/>
    </row>
    <row r="864">
      <c r="H864" s="48"/>
    </row>
    <row r="865">
      <c r="H865" s="48"/>
    </row>
    <row r="866">
      <c r="H866" s="48"/>
    </row>
    <row r="867">
      <c r="H867" s="48"/>
    </row>
    <row r="868">
      <c r="H868" s="48"/>
    </row>
    <row r="869">
      <c r="H869" s="48"/>
    </row>
    <row r="870">
      <c r="H870" s="48"/>
    </row>
    <row r="871">
      <c r="H871" s="48"/>
    </row>
    <row r="872">
      <c r="H872" s="48"/>
    </row>
    <row r="873">
      <c r="H873" s="48"/>
    </row>
    <row r="874">
      <c r="H874" s="48"/>
    </row>
    <row r="875">
      <c r="H875" s="48"/>
    </row>
    <row r="876">
      <c r="H876" s="48"/>
    </row>
    <row r="877">
      <c r="H877" s="48"/>
    </row>
    <row r="878">
      <c r="H878" s="48"/>
    </row>
    <row r="879">
      <c r="H879" s="48"/>
    </row>
    <row r="880">
      <c r="H880" s="48"/>
    </row>
    <row r="881">
      <c r="H881" s="48"/>
    </row>
    <row r="882">
      <c r="H882" s="48"/>
    </row>
    <row r="883">
      <c r="H883" s="48"/>
    </row>
    <row r="884">
      <c r="H884" s="48"/>
    </row>
    <row r="885">
      <c r="H885" s="48"/>
    </row>
    <row r="886">
      <c r="H886" s="48"/>
    </row>
    <row r="887">
      <c r="H887" s="48"/>
    </row>
    <row r="888">
      <c r="H888" s="48"/>
    </row>
    <row r="889">
      <c r="H889" s="48"/>
    </row>
    <row r="890">
      <c r="H890" s="48"/>
    </row>
    <row r="891">
      <c r="H891" s="48"/>
    </row>
    <row r="892">
      <c r="H892" s="48"/>
    </row>
    <row r="893">
      <c r="H893" s="48"/>
    </row>
    <row r="894">
      <c r="H894" s="48"/>
    </row>
    <row r="895">
      <c r="H895" s="48"/>
    </row>
    <row r="896">
      <c r="H896" s="48"/>
    </row>
    <row r="897">
      <c r="H897" s="48"/>
    </row>
    <row r="898">
      <c r="H898" s="48"/>
    </row>
    <row r="899">
      <c r="H899" s="48"/>
    </row>
    <row r="900">
      <c r="H900" s="48"/>
    </row>
    <row r="901">
      <c r="H901" s="48"/>
    </row>
    <row r="902">
      <c r="H902" s="48"/>
    </row>
    <row r="903">
      <c r="H903" s="48"/>
    </row>
    <row r="904">
      <c r="H904" s="48"/>
    </row>
    <row r="905">
      <c r="H905" s="48"/>
    </row>
    <row r="906">
      <c r="H906" s="48"/>
    </row>
    <row r="907">
      <c r="H907" s="48"/>
    </row>
    <row r="908">
      <c r="H908" s="48"/>
    </row>
    <row r="909">
      <c r="H909" s="48"/>
    </row>
    <row r="910">
      <c r="H910" s="48"/>
    </row>
    <row r="911">
      <c r="H911" s="48"/>
    </row>
    <row r="912">
      <c r="H912" s="48"/>
    </row>
    <row r="913">
      <c r="H913" s="48"/>
    </row>
    <row r="914">
      <c r="H914" s="48"/>
    </row>
    <row r="915">
      <c r="H915" s="48"/>
    </row>
    <row r="916">
      <c r="H916" s="48"/>
    </row>
    <row r="917">
      <c r="H917" s="48"/>
    </row>
    <row r="918">
      <c r="H918" s="48"/>
    </row>
    <row r="919">
      <c r="H919" s="48"/>
    </row>
    <row r="920">
      <c r="H920" s="48"/>
    </row>
    <row r="921">
      <c r="H921" s="48"/>
    </row>
    <row r="922">
      <c r="H922" s="48"/>
    </row>
    <row r="923">
      <c r="H923" s="48"/>
    </row>
    <row r="924">
      <c r="H924" s="48"/>
    </row>
    <row r="925">
      <c r="H925" s="48"/>
    </row>
    <row r="926">
      <c r="H926" s="48"/>
    </row>
    <row r="927">
      <c r="H927" s="48"/>
    </row>
    <row r="928">
      <c r="H928" s="48"/>
    </row>
    <row r="929">
      <c r="H929" s="48"/>
    </row>
    <row r="930">
      <c r="H930" s="48"/>
    </row>
    <row r="931">
      <c r="H931" s="48"/>
    </row>
    <row r="932">
      <c r="H932" s="48"/>
    </row>
    <row r="933">
      <c r="H933" s="48"/>
    </row>
    <row r="934">
      <c r="H934" s="48"/>
    </row>
    <row r="935">
      <c r="H935" s="48"/>
    </row>
    <row r="936">
      <c r="H936" s="48"/>
    </row>
    <row r="937">
      <c r="H937" s="48"/>
    </row>
    <row r="938">
      <c r="H938" s="48"/>
    </row>
    <row r="939">
      <c r="H939" s="48"/>
    </row>
    <row r="940">
      <c r="H940" s="48"/>
    </row>
    <row r="941">
      <c r="H941" s="48"/>
    </row>
    <row r="942">
      <c r="H942" s="48"/>
    </row>
    <row r="943">
      <c r="H943" s="48"/>
    </row>
    <row r="944">
      <c r="H944" s="48"/>
    </row>
    <row r="945">
      <c r="H945" s="48"/>
    </row>
    <row r="946">
      <c r="H946" s="48"/>
    </row>
    <row r="947">
      <c r="H947" s="48"/>
    </row>
    <row r="948">
      <c r="H948" s="48"/>
    </row>
    <row r="949">
      <c r="H949" s="48"/>
    </row>
    <row r="950">
      <c r="H950" s="48"/>
    </row>
    <row r="951">
      <c r="H951" s="48"/>
    </row>
    <row r="952">
      <c r="H952" s="48"/>
    </row>
    <row r="953">
      <c r="H953" s="48"/>
    </row>
    <row r="954">
      <c r="H954" s="48"/>
    </row>
    <row r="955">
      <c r="H955" s="48"/>
    </row>
    <row r="956">
      <c r="H956" s="48"/>
    </row>
    <row r="957">
      <c r="H957" s="48"/>
    </row>
    <row r="958">
      <c r="H958" s="48"/>
    </row>
    <row r="959">
      <c r="H959" s="48"/>
    </row>
    <row r="960">
      <c r="H960" s="48"/>
    </row>
    <row r="961">
      <c r="H961" s="48"/>
    </row>
    <row r="962">
      <c r="H962" s="48"/>
    </row>
    <row r="963">
      <c r="H963" s="48"/>
    </row>
    <row r="964">
      <c r="H964" s="48"/>
    </row>
    <row r="965">
      <c r="H965" s="48"/>
    </row>
    <row r="966">
      <c r="H966" s="48"/>
    </row>
    <row r="967">
      <c r="H967" s="48"/>
    </row>
    <row r="968">
      <c r="H968" s="48"/>
    </row>
    <row r="969">
      <c r="H969" s="48"/>
    </row>
    <row r="970">
      <c r="H970" s="48"/>
    </row>
    <row r="971">
      <c r="H971" s="48"/>
    </row>
    <row r="972">
      <c r="H972" s="48"/>
    </row>
    <row r="973">
      <c r="H973" s="48"/>
    </row>
    <row r="974">
      <c r="H974" s="48"/>
    </row>
    <row r="975">
      <c r="H975" s="48"/>
    </row>
    <row r="976">
      <c r="H976" s="48"/>
    </row>
    <row r="977">
      <c r="H977" s="48"/>
    </row>
    <row r="978">
      <c r="H978" s="48"/>
    </row>
    <row r="979">
      <c r="H979" s="48"/>
    </row>
    <row r="980">
      <c r="H980" s="48"/>
    </row>
    <row r="981">
      <c r="H981" s="48"/>
    </row>
    <row r="982">
      <c r="H982" s="48"/>
    </row>
    <row r="983">
      <c r="H983" s="48"/>
    </row>
    <row r="984">
      <c r="H984" s="48"/>
    </row>
    <row r="985">
      <c r="H985" s="48"/>
    </row>
    <row r="986">
      <c r="H986" s="48"/>
    </row>
    <row r="987">
      <c r="H987" s="48"/>
    </row>
    <row r="988">
      <c r="H988" s="48"/>
    </row>
    <row r="989">
      <c r="H989" s="48"/>
    </row>
    <row r="990">
      <c r="H990" s="48"/>
    </row>
    <row r="991">
      <c r="H991" s="48"/>
    </row>
    <row r="992">
      <c r="H992" s="48"/>
    </row>
    <row r="993">
      <c r="H993" s="48"/>
    </row>
    <row r="994">
      <c r="H994" s="48"/>
    </row>
    <row r="995">
      <c r="H995" s="48"/>
    </row>
    <row r="996">
      <c r="H996" s="48"/>
    </row>
    <row r="997">
      <c r="H997" s="48"/>
    </row>
  </sheetData>
  <mergeCells count="3">
    <mergeCell ref="A1:B1"/>
    <mergeCell ref="A2:B2"/>
    <mergeCell ref="A3:B3"/>
  </mergeCells>
  <hyperlinks>
    <hyperlink r:id="rId1" ref="A11"/>
  </hyperlinks>
  <printOptions/>
  <pageMargins bottom="0.75" footer="0.0" header="0.0" left="0.7" right="0.7" top="0.75"/>
  <pageSetup orientation="landscape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14.25"/>
    <col customWidth="1" min="3" max="3" width="61.13"/>
    <col customWidth="1" min="4" max="4" width="17.38"/>
    <col customWidth="1" min="5" max="5" width="11.5"/>
  </cols>
  <sheetData>
    <row r="1">
      <c r="A1" s="360" t="s">
        <v>551</v>
      </c>
      <c r="B1" s="360" t="s">
        <v>552</v>
      </c>
      <c r="C1" s="361" t="s">
        <v>553</v>
      </c>
      <c r="D1" s="360" t="s">
        <v>554</v>
      </c>
      <c r="E1" s="362" t="s">
        <v>555</v>
      </c>
      <c r="F1" s="363" t="s">
        <v>40</v>
      </c>
      <c r="G1" s="364" t="s">
        <v>556</v>
      </c>
      <c r="H1" s="363" t="s">
        <v>557</v>
      </c>
      <c r="I1" s="365" t="s">
        <v>558</v>
      </c>
      <c r="J1" s="363" t="s">
        <v>529</v>
      </c>
      <c r="K1" s="363" t="s">
        <v>530</v>
      </c>
      <c r="L1" s="364" t="s">
        <v>137</v>
      </c>
      <c r="M1" s="363" t="s">
        <v>559</v>
      </c>
      <c r="N1" s="363" t="s">
        <v>560</v>
      </c>
      <c r="O1" s="366" t="s">
        <v>561</v>
      </c>
      <c r="P1" s="48"/>
      <c r="Q1" s="48"/>
    </row>
    <row r="2">
      <c r="A2" s="367" t="s">
        <v>557</v>
      </c>
      <c r="B2" s="368" t="s">
        <v>562</v>
      </c>
      <c r="C2" s="368"/>
      <c r="D2" s="369">
        <v>208.62</v>
      </c>
      <c r="E2" s="370"/>
      <c r="F2" s="60"/>
      <c r="G2" s="48"/>
      <c r="H2" s="60"/>
      <c r="I2" s="371"/>
      <c r="J2" s="371"/>
      <c r="K2" s="371"/>
      <c r="L2" s="371"/>
      <c r="M2" s="371"/>
      <c r="N2" s="371"/>
      <c r="O2" s="43"/>
      <c r="P2" s="48"/>
      <c r="Q2" s="48"/>
    </row>
    <row r="3">
      <c r="A3" s="43" t="s">
        <v>563</v>
      </c>
      <c r="B3" s="372"/>
      <c r="C3" s="373"/>
      <c r="D3" s="374"/>
      <c r="E3" s="370"/>
      <c r="F3" s="371">
        <v>401521.24</v>
      </c>
      <c r="G3" s="371">
        <v>344578.19</v>
      </c>
      <c r="H3" s="60"/>
      <c r="I3" s="371">
        <v>22467.49</v>
      </c>
      <c r="J3" s="371">
        <v>3000823.6</v>
      </c>
      <c r="K3" s="371">
        <v>3435.07</v>
      </c>
      <c r="L3" s="60">
        <f t="shared" ref="L3:L58" si="1">SUM(G3:K3)</f>
        <v>3371304.35</v>
      </c>
      <c r="M3" s="371"/>
      <c r="N3" s="60"/>
      <c r="O3" s="48"/>
      <c r="P3" s="43"/>
      <c r="Q3" s="48"/>
    </row>
    <row r="4">
      <c r="A4" s="43" t="s">
        <v>563</v>
      </c>
      <c r="B4" s="372"/>
      <c r="C4" s="373"/>
      <c r="D4" s="375"/>
      <c r="E4" s="370"/>
      <c r="F4" s="60">
        <f t="shared" ref="F4:F58" si="2">G3</f>
        <v>344578.19</v>
      </c>
      <c r="G4" s="60">
        <f t="shared" ref="G4:G58" si="3">D4+F4</f>
        <v>344578.19</v>
      </c>
      <c r="H4" s="60"/>
      <c r="I4" s="371">
        <f t="shared" ref="I4:I56" si="4">I3</f>
        <v>22467.49</v>
      </c>
      <c r="J4" s="371"/>
      <c r="K4" s="371">
        <f t="shared" ref="K4:K6" si="5">K3</f>
        <v>3435.07</v>
      </c>
      <c r="L4" s="60">
        <f t="shared" si="1"/>
        <v>370480.75</v>
      </c>
      <c r="M4" s="371"/>
      <c r="N4" s="60"/>
      <c r="O4" s="48"/>
      <c r="P4" s="48"/>
      <c r="Q4" s="48"/>
    </row>
    <row r="5">
      <c r="A5" s="376" t="s">
        <v>563</v>
      </c>
      <c r="B5" s="372"/>
      <c r="C5" s="373"/>
      <c r="D5" s="377"/>
      <c r="E5" s="378"/>
      <c r="F5" s="379">
        <f t="shared" si="2"/>
        <v>344578.19</v>
      </c>
      <c r="G5" s="379">
        <f t="shared" si="3"/>
        <v>344578.19</v>
      </c>
      <c r="H5" s="379"/>
      <c r="I5" s="371">
        <f t="shared" si="4"/>
        <v>22467.49</v>
      </c>
      <c r="J5" s="371"/>
      <c r="K5" s="380">
        <f t="shared" si="5"/>
        <v>3435.07</v>
      </c>
      <c r="L5" s="379">
        <f t="shared" si="1"/>
        <v>370480.75</v>
      </c>
      <c r="M5" s="380"/>
      <c r="N5" s="379"/>
      <c r="O5" s="376"/>
      <c r="P5" s="381"/>
      <c r="Q5" s="381"/>
      <c r="R5" s="382"/>
      <c r="S5" s="382"/>
      <c r="T5" s="382"/>
      <c r="U5" s="382"/>
      <c r="V5" s="382"/>
      <c r="W5" s="382"/>
      <c r="X5" s="382"/>
      <c r="Y5" s="382"/>
      <c r="Z5" s="382"/>
      <c r="AA5" s="382"/>
    </row>
    <row r="6">
      <c r="A6" s="43" t="s">
        <v>563</v>
      </c>
      <c r="B6" s="372"/>
      <c r="C6" s="373"/>
      <c r="D6" s="375"/>
      <c r="E6" s="383"/>
      <c r="F6" s="60">
        <f t="shared" si="2"/>
        <v>344578.19</v>
      </c>
      <c r="G6" s="60">
        <f t="shared" si="3"/>
        <v>344578.19</v>
      </c>
      <c r="H6" s="60"/>
      <c r="I6" s="371">
        <f t="shared" si="4"/>
        <v>22467.49</v>
      </c>
      <c r="J6" s="371"/>
      <c r="K6" s="371">
        <f t="shared" si="5"/>
        <v>3435.07</v>
      </c>
      <c r="L6" s="60">
        <f t="shared" si="1"/>
        <v>370480.75</v>
      </c>
      <c r="M6" s="371"/>
      <c r="N6" s="371"/>
      <c r="O6" s="43"/>
      <c r="P6" s="48"/>
      <c r="Q6" s="48"/>
    </row>
    <row r="7">
      <c r="A7" s="376" t="s">
        <v>563</v>
      </c>
      <c r="B7" s="372"/>
      <c r="C7" s="373"/>
      <c r="D7" s="375"/>
      <c r="E7" s="378"/>
      <c r="F7" s="379">
        <f t="shared" si="2"/>
        <v>344578.19</v>
      </c>
      <c r="G7" s="379">
        <f t="shared" si="3"/>
        <v>344578.19</v>
      </c>
      <c r="H7" s="379"/>
      <c r="I7" s="371">
        <f t="shared" si="4"/>
        <v>22467.49</v>
      </c>
      <c r="J7" s="371"/>
      <c r="K7" s="380">
        <f>K6+250-5.47</f>
        <v>3679.6</v>
      </c>
      <c r="L7" s="379">
        <f t="shared" si="1"/>
        <v>370725.28</v>
      </c>
      <c r="M7" s="380"/>
      <c r="N7" s="380"/>
      <c r="O7" s="376"/>
      <c r="P7" s="381"/>
      <c r="Q7" s="381"/>
      <c r="R7" s="382"/>
      <c r="S7" s="382"/>
      <c r="T7" s="382"/>
      <c r="U7" s="382"/>
      <c r="V7" s="382"/>
      <c r="W7" s="382"/>
      <c r="X7" s="382"/>
      <c r="Y7" s="382"/>
      <c r="Z7" s="382"/>
      <c r="AA7" s="382"/>
    </row>
    <row r="8">
      <c r="A8" s="43" t="s">
        <v>563</v>
      </c>
      <c r="B8" s="372"/>
      <c r="C8" s="373"/>
      <c r="D8" s="377"/>
      <c r="E8" s="370"/>
      <c r="F8" s="60">
        <f t="shared" si="2"/>
        <v>344578.19</v>
      </c>
      <c r="G8" s="60">
        <f t="shared" si="3"/>
        <v>344578.19</v>
      </c>
      <c r="H8" s="60"/>
      <c r="I8" s="371">
        <f t="shared" si="4"/>
        <v>22467.49</v>
      </c>
      <c r="J8" s="371"/>
      <c r="K8" s="371">
        <f t="shared" ref="K8:K58" si="6">K7</f>
        <v>3679.6</v>
      </c>
      <c r="L8" s="60">
        <f t="shared" si="1"/>
        <v>370725.28</v>
      </c>
      <c r="M8" s="60"/>
      <c r="N8" s="60"/>
      <c r="O8" s="48"/>
      <c r="P8" s="48"/>
      <c r="Q8" s="48"/>
    </row>
    <row r="9">
      <c r="A9" s="43" t="s">
        <v>563</v>
      </c>
      <c r="B9" s="372"/>
      <c r="C9" s="373"/>
      <c r="D9" s="377"/>
      <c r="E9" s="384"/>
      <c r="F9" s="60">
        <f t="shared" si="2"/>
        <v>344578.19</v>
      </c>
      <c r="G9" s="60">
        <f t="shared" si="3"/>
        <v>344578.19</v>
      </c>
      <c r="H9" s="60"/>
      <c r="I9" s="371">
        <f t="shared" si="4"/>
        <v>22467.49</v>
      </c>
      <c r="J9" s="371"/>
      <c r="K9" s="371">
        <f t="shared" si="6"/>
        <v>3679.6</v>
      </c>
      <c r="L9" s="60">
        <f t="shared" si="1"/>
        <v>370725.28</v>
      </c>
      <c r="M9" s="371"/>
      <c r="N9" s="60"/>
      <c r="O9" s="48"/>
      <c r="P9" s="48"/>
      <c r="Q9" s="48"/>
    </row>
    <row r="10">
      <c r="A10" s="376" t="s">
        <v>563</v>
      </c>
      <c r="B10" s="372"/>
      <c r="C10" s="373"/>
      <c r="D10" s="377"/>
      <c r="E10" s="378"/>
      <c r="F10" s="379">
        <f t="shared" si="2"/>
        <v>344578.19</v>
      </c>
      <c r="G10" s="379">
        <f t="shared" si="3"/>
        <v>344578.19</v>
      </c>
      <c r="H10" s="379"/>
      <c r="I10" s="371">
        <f t="shared" si="4"/>
        <v>22467.49</v>
      </c>
      <c r="J10" s="371"/>
      <c r="K10" s="380">
        <f t="shared" si="6"/>
        <v>3679.6</v>
      </c>
      <c r="L10" s="379">
        <f t="shared" si="1"/>
        <v>370725.28</v>
      </c>
      <c r="M10" s="380"/>
      <c r="N10" s="379"/>
      <c r="O10" s="381"/>
      <c r="P10" s="381"/>
      <c r="Q10" s="381"/>
      <c r="R10" s="382"/>
      <c r="S10" s="382"/>
      <c r="T10" s="382"/>
      <c r="U10" s="382"/>
      <c r="V10" s="382"/>
      <c r="W10" s="382"/>
      <c r="X10" s="382"/>
      <c r="Y10" s="382"/>
      <c r="Z10" s="382"/>
      <c r="AA10" s="382"/>
    </row>
    <row r="11">
      <c r="A11" s="43" t="s">
        <v>563</v>
      </c>
      <c r="B11" s="372"/>
      <c r="C11" s="373"/>
      <c r="D11" s="377"/>
      <c r="E11" s="370"/>
      <c r="F11" s="60">
        <f t="shared" si="2"/>
        <v>344578.19</v>
      </c>
      <c r="G11" s="60">
        <f t="shared" si="3"/>
        <v>344578.19</v>
      </c>
      <c r="H11" s="60"/>
      <c r="I11" s="371">
        <f t="shared" si="4"/>
        <v>22467.49</v>
      </c>
      <c r="J11" s="371"/>
      <c r="K11" s="371">
        <f t="shared" si="6"/>
        <v>3679.6</v>
      </c>
      <c r="L11" s="60">
        <f t="shared" si="1"/>
        <v>370725.28</v>
      </c>
      <c r="M11" s="371"/>
      <c r="N11" s="60"/>
      <c r="O11" s="48"/>
      <c r="P11" s="48"/>
      <c r="Q11" s="48"/>
    </row>
    <row r="12">
      <c r="A12" s="43" t="s">
        <v>563</v>
      </c>
      <c r="B12" s="372"/>
      <c r="C12" s="373"/>
      <c r="D12" s="375"/>
      <c r="E12" s="370"/>
      <c r="F12" s="60">
        <f t="shared" si="2"/>
        <v>344578.19</v>
      </c>
      <c r="G12" s="60">
        <f t="shared" si="3"/>
        <v>344578.19</v>
      </c>
      <c r="H12" s="60"/>
      <c r="I12" s="371">
        <f t="shared" si="4"/>
        <v>22467.49</v>
      </c>
      <c r="J12" s="371"/>
      <c r="K12" s="371">
        <f t="shared" si="6"/>
        <v>3679.6</v>
      </c>
      <c r="L12" s="60">
        <f t="shared" si="1"/>
        <v>370725.28</v>
      </c>
      <c r="M12" s="60"/>
      <c r="N12" s="60"/>
      <c r="O12" s="48"/>
      <c r="P12" s="48"/>
      <c r="Q12" s="48"/>
    </row>
    <row r="13">
      <c r="A13" s="43" t="s">
        <v>563</v>
      </c>
      <c r="B13" s="372"/>
      <c r="C13" s="373"/>
      <c r="D13" s="375"/>
      <c r="E13" s="370"/>
      <c r="F13" s="60">
        <f t="shared" si="2"/>
        <v>344578.19</v>
      </c>
      <c r="G13" s="60">
        <f t="shared" si="3"/>
        <v>344578.19</v>
      </c>
      <c r="H13" s="60"/>
      <c r="I13" s="371">
        <f t="shared" si="4"/>
        <v>22467.49</v>
      </c>
      <c r="J13" s="371"/>
      <c r="K13" s="371">
        <f t="shared" si="6"/>
        <v>3679.6</v>
      </c>
      <c r="L13" s="60">
        <f t="shared" si="1"/>
        <v>370725.28</v>
      </c>
      <c r="M13" s="60"/>
      <c r="N13" s="60"/>
      <c r="O13" s="48"/>
      <c r="P13" s="48"/>
      <c r="Q13" s="48"/>
    </row>
    <row r="14">
      <c r="A14" s="43" t="s">
        <v>563</v>
      </c>
      <c r="B14" s="372"/>
      <c r="C14" s="373"/>
      <c r="D14" s="375"/>
      <c r="E14" s="370"/>
      <c r="F14" s="60">
        <f t="shared" si="2"/>
        <v>344578.19</v>
      </c>
      <c r="G14" s="60">
        <f t="shared" si="3"/>
        <v>344578.19</v>
      </c>
      <c r="H14" s="60"/>
      <c r="I14" s="371">
        <f t="shared" si="4"/>
        <v>22467.49</v>
      </c>
      <c r="J14" s="371"/>
      <c r="K14" s="371">
        <f t="shared" si="6"/>
        <v>3679.6</v>
      </c>
      <c r="L14" s="60">
        <f t="shared" si="1"/>
        <v>370725.28</v>
      </c>
      <c r="M14" s="371"/>
      <c r="N14" s="60"/>
      <c r="O14" s="48"/>
      <c r="P14" s="48"/>
      <c r="Q14" s="48"/>
    </row>
    <row r="15">
      <c r="A15" s="43" t="s">
        <v>563</v>
      </c>
      <c r="B15" s="372"/>
      <c r="C15" s="373"/>
      <c r="D15" s="377"/>
      <c r="E15" s="370"/>
      <c r="F15" s="60">
        <f t="shared" si="2"/>
        <v>344578.19</v>
      </c>
      <c r="G15" s="60">
        <f t="shared" si="3"/>
        <v>344578.19</v>
      </c>
      <c r="H15" s="60"/>
      <c r="I15" s="371">
        <f t="shared" si="4"/>
        <v>22467.49</v>
      </c>
      <c r="J15" s="371"/>
      <c r="K15" s="371">
        <f t="shared" si="6"/>
        <v>3679.6</v>
      </c>
      <c r="L15" s="60">
        <f t="shared" si="1"/>
        <v>370725.28</v>
      </c>
      <c r="M15" s="371"/>
      <c r="N15" s="60"/>
      <c r="O15" s="48"/>
      <c r="P15" s="48"/>
      <c r="Q15" s="48"/>
    </row>
    <row r="16">
      <c r="A16" s="376" t="s">
        <v>563</v>
      </c>
      <c r="B16" s="372"/>
      <c r="C16" s="373"/>
      <c r="D16" s="375"/>
      <c r="E16" s="385"/>
      <c r="F16" s="379">
        <f t="shared" si="2"/>
        <v>344578.19</v>
      </c>
      <c r="G16" s="379">
        <f t="shared" si="3"/>
        <v>344578.19</v>
      </c>
      <c r="H16" s="379"/>
      <c r="I16" s="371">
        <f t="shared" si="4"/>
        <v>22467.49</v>
      </c>
      <c r="J16" s="380"/>
      <c r="K16" s="380">
        <f t="shared" si="6"/>
        <v>3679.6</v>
      </c>
      <c r="L16" s="379">
        <f t="shared" si="1"/>
        <v>370725.28</v>
      </c>
      <c r="M16" s="380"/>
      <c r="N16" s="379"/>
      <c r="O16" s="381"/>
      <c r="P16" s="381"/>
      <c r="Q16" s="381"/>
      <c r="R16" s="382"/>
      <c r="S16" s="382"/>
      <c r="T16" s="382"/>
      <c r="U16" s="382"/>
      <c r="V16" s="382"/>
      <c r="W16" s="382"/>
      <c r="X16" s="382"/>
      <c r="Y16" s="382"/>
      <c r="Z16" s="382"/>
      <c r="AA16" s="382"/>
    </row>
    <row r="17">
      <c r="A17" s="43" t="s">
        <v>563</v>
      </c>
      <c r="B17" s="372"/>
      <c r="C17" s="373"/>
      <c r="D17" s="377"/>
      <c r="E17" s="383"/>
      <c r="F17" s="60">
        <f t="shared" si="2"/>
        <v>344578.19</v>
      </c>
      <c r="G17" s="60">
        <f t="shared" si="3"/>
        <v>344578.19</v>
      </c>
      <c r="H17" s="60"/>
      <c r="I17" s="371">
        <f t="shared" si="4"/>
        <v>22467.49</v>
      </c>
      <c r="J17" s="380"/>
      <c r="K17" s="371">
        <f t="shared" si="6"/>
        <v>3679.6</v>
      </c>
      <c r="L17" s="60">
        <f t="shared" si="1"/>
        <v>370725.28</v>
      </c>
      <c r="M17" s="60"/>
      <c r="N17" s="60"/>
      <c r="O17" s="48"/>
      <c r="P17" s="48"/>
      <c r="Q17" s="48"/>
    </row>
    <row r="18">
      <c r="A18" s="43" t="s">
        <v>563</v>
      </c>
      <c r="B18" s="372"/>
      <c r="C18" s="373"/>
      <c r="D18" s="375"/>
      <c r="E18" s="370"/>
      <c r="F18" s="60">
        <f t="shared" si="2"/>
        <v>344578.19</v>
      </c>
      <c r="G18" s="60">
        <f t="shared" si="3"/>
        <v>344578.19</v>
      </c>
      <c r="H18" s="60"/>
      <c r="I18" s="371">
        <f t="shared" si="4"/>
        <v>22467.49</v>
      </c>
      <c r="J18" s="380"/>
      <c r="K18" s="371">
        <f t="shared" si="6"/>
        <v>3679.6</v>
      </c>
      <c r="L18" s="60">
        <f t="shared" si="1"/>
        <v>370725.28</v>
      </c>
      <c r="M18" s="60"/>
      <c r="N18" s="60"/>
      <c r="O18" s="48"/>
      <c r="P18" s="48"/>
      <c r="Q18" s="48"/>
    </row>
    <row r="19">
      <c r="A19" s="43" t="s">
        <v>563</v>
      </c>
      <c r="B19" s="372"/>
      <c r="C19" s="373"/>
      <c r="D19" s="375"/>
      <c r="E19" s="384"/>
      <c r="F19" s="60">
        <f t="shared" si="2"/>
        <v>344578.19</v>
      </c>
      <c r="G19" s="60">
        <f t="shared" si="3"/>
        <v>344578.19</v>
      </c>
      <c r="H19" s="60"/>
      <c r="I19" s="371">
        <f t="shared" si="4"/>
        <v>22467.49</v>
      </c>
      <c r="J19" s="380"/>
      <c r="K19" s="371">
        <f t="shared" si="6"/>
        <v>3679.6</v>
      </c>
      <c r="L19" s="60">
        <f t="shared" si="1"/>
        <v>370725.28</v>
      </c>
      <c r="M19" s="371"/>
      <c r="N19" s="60"/>
      <c r="O19" s="48"/>
      <c r="P19" s="48"/>
      <c r="Q19" s="48"/>
    </row>
    <row r="20">
      <c r="A20" s="43" t="s">
        <v>563</v>
      </c>
      <c r="B20" s="372"/>
      <c r="C20" s="373"/>
      <c r="D20" s="375"/>
      <c r="E20" s="384"/>
      <c r="F20" s="60">
        <f t="shared" si="2"/>
        <v>344578.19</v>
      </c>
      <c r="G20" s="60">
        <f t="shared" si="3"/>
        <v>344578.19</v>
      </c>
      <c r="H20" s="60"/>
      <c r="I20" s="371">
        <f t="shared" si="4"/>
        <v>22467.49</v>
      </c>
      <c r="J20" s="380"/>
      <c r="K20" s="371">
        <f t="shared" si="6"/>
        <v>3679.6</v>
      </c>
      <c r="L20" s="60">
        <f t="shared" si="1"/>
        <v>370725.28</v>
      </c>
      <c r="M20" s="60"/>
      <c r="N20" s="60"/>
      <c r="O20" s="48"/>
      <c r="P20" s="48"/>
      <c r="Q20" s="48"/>
    </row>
    <row r="21">
      <c r="A21" s="376" t="s">
        <v>563</v>
      </c>
      <c r="B21" s="372"/>
      <c r="C21" s="373"/>
      <c r="D21" s="377"/>
      <c r="E21" s="385"/>
      <c r="F21" s="379">
        <f t="shared" si="2"/>
        <v>344578.19</v>
      </c>
      <c r="G21" s="379">
        <f t="shared" si="3"/>
        <v>344578.19</v>
      </c>
      <c r="H21" s="379"/>
      <c r="I21" s="371">
        <f t="shared" si="4"/>
        <v>22467.49</v>
      </c>
      <c r="J21" s="380"/>
      <c r="K21" s="380">
        <f t="shared" si="6"/>
        <v>3679.6</v>
      </c>
      <c r="L21" s="379">
        <f t="shared" si="1"/>
        <v>370725.28</v>
      </c>
      <c r="M21" s="380"/>
      <c r="N21" s="379"/>
      <c r="O21" s="381"/>
      <c r="P21" s="381"/>
      <c r="Q21" s="381"/>
      <c r="R21" s="382"/>
      <c r="S21" s="382"/>
      <c r="T21" s="382"/>
      <c r="U21" s="382"/>
      <c r="V21" s="382"/>
      <c r="W21" s="382"/>
      <c r="X21" s="382"/>
      <c r="Y21" s="382"/>
      <c r="Z21" s="382"/>
      <c r="AA21" s="382"/>
    </row>
    <row r="22">
      <c r="A22" s="43" t="s">
        <v>563</v>
      </c>
      <c r="B22" s="372"/>
      <c r="C22" s="373"/>
      <c r="D22" s="375"/>
      <c r="E22" s="384"/>
      <c r="F22" s="60">
        <f t="shared" si="2"/>
        <v>344578.19</v>
      </c>
      <c r="G22" s="60">
        <f t="shared" si="3"/>
        <v>344578.19</v>
      </c>
      <c r="H22" s="60"/>
      <c r="I22" s="371">
        <f t="shared" si="4"/>
        <v>22467.49</v>
      </c>
      <c r="J22" s="371"/>
      <c r="K22" s="371">
        <f t="shared" si="6"/>
        <v>3679.6</v>
      </c>
      <c r="L22" s="60">
        <f t="shared" si="1"/>
        <v>370725.28</v>
      </c>
      <c r="M22" s="60"/>
      <c r="N22" s="60"/>
      <c r="O22" s="48"/>
      <c r="P22" s="48"/>
      <c r="Q22" s="48"/>
    </row>
    <row r="23">
      <c r="A23" s="376" t="s">
        <v>563</v>
      </c>
      <c r="B23" s="372"/>
      <c r="C23" s="373"/>
      <c r="D23" s="377"/>
      <c r="E23" s="378"/>
      <c r="F23" s="379">
        <f t="shared" si="2"/>
        <v>344578.19</v>
      </c>
      <c r="G23" s="379">
        <f t="shared" si="3"/>
        <v>344578.19</v>
      </c>
      <c r="H23" s="379"/>
      <c r="I23" s="371">
        <f t="shared" si="4"/>
        <v>22467.49</v>
      </c>
      <c r="J23" s="371"/>
      <c r="K23" s="380">
        <f t="shared" si="6"/>
        <v>3679.6</v>
      </c>
      <c r="L23" s="379">
        <f t="shared" si="1"/>
        <v>370725.28</v>
      </c>
      <c r="M23" s="380"/>
      <c r="N23" s="379"/>
      <c r="O23" s="381"/>
      <c r="P23" s="381"/>
      <c r="Q23" s="381"/>
      <c r="R23" s="382"/>
      <c r="S23" s="382"/>
      <c r="T23" s="382"/>
      <c r="U23" s="382"/>
      <c r="V23" s="382"/>
      <c r="W23" s="382"/>
      <c r="X23" s="382"/>
      <c r="Y23" s="382"/>
      <c r="Z23" s="382"/>
      <c r="AA23" s="382"/>
    </row>
    <row r="24">
      <c r="A24" s="43" t="s">
        <v>563</v>
      </c>
      <c r="B24" s="372"/>
      <c r="C24" s="373"/>
      <c r="D24" s="375"/>
      <c r="E24" s="370"/>
      <c r="F24" s="60">
        <f t="shared" si="2"/>
        <v>344578.19</v>
      </c>
      <c r="G24" s="60">
        <f t="shared" si="3"/>
        <v>344578.19</v>
      </c>
      <c r="H24" s="60"/>
      <c r="I24" s="371">
        <f t="shared" si="4"/>
        <v>22467.49</v>
      </c>
      <c r="J24" s="371"/>
      <c r="K24" s="371">
        <f t="shared" si="6"/>
        <v>3679.6</v>
      </c>
      <c r="L24" s="60">
        <f t="shared" si="1"/>
        <v>370725.28</v>
      </c>
      <c r="M24" s="60"/>
      <c r="N24" s="60"/>
      <c r="O24" s="48"/>
      <c r="P24" s="48"/>
      <c r="Q24" s="48"/>
    </row>
    <row r="25">
      <c r="A25" s="376" t="s">
        <v>563</v>
      </c>
      <c r="B25" s="372"/>
      <c r="C25" s="373"/>
      <c r="D25" s="377"/>
      <c r="E25" s="385"/>
      <c r="F25" s="379">
        <f t="shared" si="2"/>
        <v>344578.19</v>
      </c>
      <c r="G25" s="379">
        <f t="shared" si="3"/>
        <v>344578.19</v>
      </c>
      <c r="H25" s="379"/>
      <c r="I25" s="371">
        <f t="shared" si="4"/>
        <v>22467.49</v>
      </c>
      <c r="J25" s="371"/>
      <c r="K25" s="380">
        <f t="shared" si="6"/>
        <v>3679.6</v>
      </c>
      <c r="L25" s="379">
        <f t="shared" si="1"/>
        <v>370725.28</v>
      </c>
      <c r="M25" s="380"/>
      <c r="N25" s="379"/>
      <c r="O25" s="381"/>
      <c r="P25" s="381"/>
      <c r="Q25" s="381"/>
      <c r="R25" s="382"/>
      <c r="S25" s="382"/>
      <c r="T25" s="382"/>
      <c r="U25" s="382"/>
      <c r="V25" s="382"/>
      <c r="W25" s="382"/>
      <c r="X25" s="382"/>
      <c r="Y25" s="382"/>
      <c r="Z25" s="382"/>
      <c r="AA25" s="382"/>
    </row>
    <row r="26">
      <c r="A26" s="43" t="s">
        <v>563</v>
      </c>
      <c r="B26" s="372"/>
      <c r="C26" s="373"/>
      <c r="D26" s="375"/>
      <c r="E26" s="383"/>
      <c r="F26" s="60">
        <f t="shared" si="2"/>
        <v>344578.19</v>
      </c>
      <c r="G26" s="60">
        <f t="shared" si="3"/>
        <v>344578.19</v>
      </c>
      <c r="H26" s="60"/>
      <c r="I26" s="371">
        <f t="shared" si="4"/>
        <v>22467.49</v>
      </c>
      <c r="J26" s="371"/>
      <c r="K26" s="371">
        <f t="shared" si="6"/>
        <v>3679.6</v>
      </c>
      <c r="L26" s="60">
        <f t="shared" si="1"/>
        <v>370725.28</v>
      </c>
      <c r="M26" s="60"/>
      <c r="N26" s="60"/>
      <c r="O26" s="48"/>
      <c r="P26" s="48"/>
      <c r="Q26" s="48"/>
    </row>
    <row r="27">
      <c r="A27" s="386" t="s">
        <v>563</v>
      </c>
      <c r="B27" s="372"/>
      <c r="C27" s="373"/>
      <c r="D27" s="375"/>
      <c r="E27" s="384"/>
      <c r="F27" s="60">
        <f t="shared" si="2"/>
        <v>344578.19</v>
      </c>
      <c r="G27" s="60">
        <f t="shared" si="3"/>
        <v>344578.19</v>
      </c>
      <c r="H27" s="60"/>
      <c r="I27" s="371">
        <f t="shared" si="4"/>
        <v>22467.49</v>
      </c>
      <c r="J27" s="371"/>
      <c r="K27" s="371">
        <f t="shared" si="6"/>
        <v>3679.6</v>
      </c>
      <c r="L27" s="60">
        <f t="shared" si="1"/>
        <v>370725.28</v>
      </c>
      <c r="M27" s="371"/>
      <c r="N27" s="60"/>
      <c r="O27" s="48"/>
      <c r="P27" s="48"/>
      <c r="Q27" s="48"/>
    </row>
    <row r="28">
      <c r="A28" s="376" t="s">
        <v>563</v>
      </c>
      <c r="B28" s="372"/>
      <c r="C28" s="373"/>
      <c r="D28" s="375"/>
      <c r="E28" s="387"/>
      <c r="F28" s="379">
        <f t="shared" si="2"/>
        <v>344578.19</v>
      </c>
      <c r="G28" s="379">
        <f t="shared" si="3"/>
        <v>344578.19</v>
      </c>
      <c r="H28" s="379"/>
      <c r="I28" s="371">
        <f t="shared" si="4"/>
        <v>22467.49</v>
      </c>
      <c r="J28" s="371"/>
      <c r="K28" s="380">
        <f t="shared" si="6"/>
        <v>3679.6</v>
      </c>
      <c r="L28" s="379">
        <f t="shared" si="1"/>
        <v>370725.28</v>
      </c>
      <c r="M28" s="380"/>
      <c r="N28" s="379"/>
      <c r="O28" s="381"/>
      <c r="P28" s="381"/>
      <c r="Q28" s="381"/>
      <c r="R28" s="382"/>
      <c r="S28" s="382"/>
      <c r="T28" s="382"/>
      <c r="U28" s="382"/>
      <c r="V28" s="382"/>
      <c r="W28" s="382"/>
      <c r="X28" s="382"/>
      <c r="Y28" s="382"/>
      <c r="Z28" s="382"/>
      <c r="AA28" s="382"/>
    </row>
    <row r="29">
      <c r="A29" s="43" t="s">
        <v>563</v>
      </c>
      <c r="B29" s="372"/>
      <c r="C29" s="373"/>
      <c r="D29" s="375"/>
      <c r="E29" s="384"/>
      <c r="F29" s="60">
        <f t="shared" si="2"/>
        <v>344578.19</v>
      </c>
      <c r="G29" s="60">
        <f t="shared" si="3"/>
        <v>344578.19</v>
      </c>
      <c r="H29" s="60"/>
      <c r="I29" s="371">
        <f t="shared" si="4"/>
        <v>22467.49</v>
      </c>
      <c r="J29" s="371"/>
      <c r="K29" s="371">
        <f t="shared" si="6"/>
        <v>3679.6</v>
      </c>
      <c r="L29" s="60">
        <f t="shared" si="1"/>
        <v>370725.28</v>
      </c>
      <c r="M29" s="60"/>
      <c r="N29" s="60"/>
      <c r="O29" s="48"/>
      <c r="P29" s="48"/>
      <c r="Q29" s="48"/>
    </row>
    <row r="30">
      <c r="A30" s="376" t="s">
        <v>563</v>
      </c>
      <c r="B30" s="372"/>
      <c r="C30" s="373"/>
      <c r="D30" s="377"/>
      <c r="E30" s="378"/>
      <c r="F30" s="379">
        <f t="shared" si="2"/>
        <v>344578.19</v>
      </c>
      <c r="G30" s="379">
        <f t="shared" si="3"/>
        <v>344578.19</v>
      </c>
      <c r="H30" s="379"/>
      <c r="I30" s="371">
        <f t="shared" si="4"/>
        <v>22467.49</v>
      </c>
      <c r="J30" s="371"/>
      <c r="K30" s="380">
        <f t="shared" si="6"/>
        <v>3679.6</v>
      </c>
      <c r="L30" s="379">
        <f t="shared" si="1"/>
        <v>370725.28</v>
      </c>
      <c r="M30" s="380"/>
      <c r="N30" s="379"/>
      <c r="O30" s="381"/>
      <c r="P30" s="381"/>
      <c r="Q30" s="381"/>
      <c r="R30" s="382"/>
      <c r="S30" s="382"/>
      <c r="T30" s="382"/>
      <c r="U30" s="382"/>
      <c r="V30" s="382"/>
      <c r="W30" s="382"/>
      <c r="X30" s="382"/>
      <c r="Y30" s="382"/>
      <c r="Z30" s="382"/>
      <c r="AA30" s="382"/>
    </row>
    <row r="31">
      <c r="A31" s="43" t="s">
        <v>563</v>
      </c>
      <c r="B31" s="372"/>
      <c r="C31" s="373"/>
      <c r="D31" s="375"/>
      <c r="E31" s="370"/>
      <c r="F31" s="60">
        <f t="shared" si="2"/>
        <v>344578.19</v>
      </c>
      <c r="G31" s="60">
        <f t="shared" si="3"/>
        <v>344578.19</v>
      </c>
      <c r="H31" s="60"/>
      <c r="I31" s="371">
        <f t="shared" si="4"/>
        <v>22467.49</v>
      </c>
      <c r="J31" s="371"/>
      <c r="K31" s="371">
        <f t="shared" si="6"/>
        <v>3679.6</v>
      </c>
      <c r="L31" s="60">
        <f t="shared" si="1"/>
        <v>370725.28</v>
      </c>
      <c r="M31" s="60"/>
      <c r="N31" s="60"/>
      <c r="O31" s="48"/>
      <c r="P31" s="48"/>
      <c r="Q31" s="48"/>
    </row>
    <row r="32">
      <c r="A32" s="376" t="s">
        <v>563</v>
      </c>
      <c r="B32" s="372"/>
      <c r="C32" s="373"/>
      <c r="D32" s="377"/>
      <c r="E32" s="385"/>
      <c r="F32" s="379">
        <f t="shared" si="2"/>
        <v>344578.19</v>
      </c>
      <c r="G32" s="379">
        <f t="shared" si="3"/>
        <v>344578.19</v>
      </c>
      <c r="H32" s="379"/>
      <c r="I32" s="371">
        <f t="shared" si="4"/>
        <v>22467.49</v>
      </c>
      <c r="J32" s="371"/>
      <c r="K32" s="380">
        <f t="shared" si="6"/>
        <v>3679.6</v>
      </c>
      <c r="L32" s="379">
        <f t="shared" si="1"/>
        <v>370725.28</v>
      </c>
      <c r="M32" s="380"/>
      <c r="N32" s="379"/>
      <c r="O32" s="381"/>
      <c r="P32" s="381"/>
      <c r="Q32" s="381"/>
      <c r="R32" s="382"/>
      <c r="S32" s="382"/>
      <c r="T32" s="382"/>
      <c r="U32" s="382"/>
      <c r="V32" s="382"/>
      <c r="W32" s="382"/>
      <c r="X32" s="382"/>
      <c r="Y32" s="382"/>
      <c r="Z32" s="382"/>
      <c r="AA32" s="382"/>
    </row>
    <row r="33">
      <c r="A33" s="43" t="s">
        <v>563</v>
      </c>
      <c r="B33" s="372"/>
      <c r="C33" s="373"/>
      <c r="D33" s="377"/>
      <c r="E33" s="383"/>
      <c r="F33" s="60">
        <f t="shared" si="2"/>
        <v>344578.19</v>
      </c>
      <c r="G33" s="60">
        <f t="shared" si="3"/>
        <v>344578.19</v>
      </c>
      <c r="H33" s="60"/>
      <c r="I33" s="371">
        <f t="shared" si="4"/>
        <v>22467.49</v>
      </c>
      <c r="J33" s="371"/>
      <c r="K33" s="371">
        <f t="shared" si="6"/>
        <v>3679.6</v>
      </c>
      <c r="L33" s="60">
        <f t="shared" si="1"/>
        <v>370725.28</v>
      </c>
      <c r="M33" s="371"/>
      <c r="N33" s="60"/>
      <c r="O33" s="48"/>
      <c r="P33" s="48"/>
      <c r="Q33" s="48"/>
    </row>
    <row r="34">
      <c r="A34" s="43" t="s">
        <v>563</v>
      </c>
      <c r="B34" s="372"/>
      <c r="C34" s="373"/>
      <c r="D34" s="375"/>
      <c r="E34" s="370"/>
      <c r="F34" s="60">
        <f t="shared" si="2"/>
        <v>344578.19</v>
      </c>
      <c r="G34" s="60">
        <f t="shared" si="3"/>
        <v>344578.19</v>
      </c>
      <c r="H34" s="60"/>
      <c r="I34" s="371">
        <f t="shared" si="4"/>
        <v>22467.49</v>
      </c>
      <c r="J34" s="371"/>
      <c r="K34" s="371">
        <f t="shared" si="6"/>
        <v>3679.6</v>
      </c>
      <c r="L34" s="60">
        <f t="shared" si="1"/>
        <v>370725.28</v>
      </c>
      <c r="M34" s="60"/>
      <c r="N34" s="60"/>
      <c r="O34" s="48"/>
      <c r="P34" s="48"/>
      <c r="Q34" s="48"/>
    </row>
    <row r="35">
      <c r="A35" s="43" t="s">
        <v>563</v>
      </c>
      <c r="B35" s="372"/>
      <c r="C35" s="373"/>
      <c r="D35" s="375"/>
      <c r="E35" s="370"/>
      <c r="F35" s="60">
        <f t="shared" si="2"/>
        <v>344578.19</v>
      </c>
      <c r="G35" s="60">
        <f t="shared" si="3"/>
        <v>344578.19</v>
      </c>
      <c r="H35" s="60"/>
      <c r="I35" s="371">
        <f t="shared" si="4"/>
        <v>22467.49</v>
      </c>
      <c r="J35" s="371"/>
      <c r="K35" s="371">
        <f t="shared" si="6"/>
        <v>3679.6</v>
      </c>
      <c r="L35" s="60">
        <f t="shared" si="1"/>
        <v>370725.28</v>
      </c>
      <c r="M35" s="60"/>
      <c r="N35" s="60"/>
      <c r="O35" s="48"/>
      <c r="P35" s="48"/>
      <c r="Q35" s="48"/>
    </row>
    <row r="36">
      <c r="A36" s="43" t="s">
        <v>563</v>
      </c>
      <c r="B36" s="372"/>
      <c r="C36" s="373"/>
      <c r="D36" s="377"/>
      <c r="E36" s="370"/>
      <c r="F36" s="60">
        <f t="shared" si="2"/>
        <v>344578.19</v>
      </c>
      <c r="G36" s="60">
        <f t="shared" si="3"/>
        <v>344578.19</v>
      </c>
      <c r="H36" s="60"/>
      <c r="I36" s="371">
        <f t="shared" si="4"/>
        <v>22467.49</v>
      </c>
      <c r="J36" s="371"/>
      <c r="K36" s="371">
        <f t="shared" si="6"/>
        <v>3679.6</v>
      </c>
      <c r="L36" s="60">
        <f t="shared" si="1"/>
        <v>370725.28</v>
      </c>
      <c r="M36" s="371"/>
      <c r="N36" s="60"/>
      <c r="O36" s="48"/>
      <c r="P36" s="48"/>
      <c r="Q36" s="48"/>
    </row>
    <row r="37">
      <c r="A37" s="43" t="s">
        <v>563</v>
      </c>
      <c r="B37" s="372"/>
      <c r="C37" s="373"/>
      <c r="D37" s="375"/>
      <c r="E37" s="370"/>
      <c r="F37" s="60">
        <f t="shared" si="2"/>
        <v>344578.19</v>
      </c>
      <c r="G37" s="60">
        <f t="shared" si="3"/>
        <v>344578.19</v>
      </c>
      <c r="H37" s="60"/>
      <c r="I37" s="371">
        <f t="shared" si="4"/>
        <v>22467.49</v>
      </c>
      <c r="J37" s="371"/>
      <c r="K37" s="371">
        <f t="shared" si="6"/>
        <v>3679.6</v>
      </c>
      <c r="L37" s="60">
        <f t="shared" si="1"/>
        <v>370725.28</v>
      </c>
      <c r="M37" s="371"/>
      <c r="N37" s="60"/>
      <c r="O37" s="48"/>
      <c r="P37" s="48"/>
      <c r="Q37" s="48"/>
    </row>
    <row r="38">
      <c r="A38" s="376" t="s">
        <v>563</v>
      </c>
      <c r="B38" s="372"/>
      <c r="C38" s="373"/>
      <c r="D38" s="375"/>
      <c r="E38" s="385"/>
      <c r="F38" s="379">
        <f t="shared" si="2"/>
        <v>344578.19</v>
      </c>
      <c r="G38" s="379">
        <f t="shared" si="3"/>
        <v>344578.19</v>
      </c>
      <c r="H38" s="379"/>
      <c r="I38" s="371">
        <f t="shared" si="4"/>
        <v>22467.49</v>
      </c>
      <c r="J38" s="371"/>
      <c r="K38" s="380">
        <f t="shared" si="6"/>
        <v>3679.6</v>
      </c>
      <c r="L38" s="379">
        <f t="shared" si="1"/>
        <v>370725.28</v>
      </c>
      <c r="M38" s="380"/>
      <c r="N38" s="379"/>
      <c r="O38" s="376"/>
      <c r="P38" s="381"/>
      <c r="Q38" s="381"/>
      <c r="R38" s="382"/>
      <c r="S38" s="382"/>
      <c r="T38" s="382"/>
      <c r="U38" s="382"/>
      <c r="V38" s="382"/>
      <c r="W38" s="382"/>
      <c r="X38" s="382"/>
      <c r="Y38" s="382"/>
      <c r="Z38" s="382"/>
      <c r="AA38" s="382"/>
    </row>
    <row r="39">
      <c r="A39" s="43" t="s">
        <v>563</v>
      </c>
      <c r="B39" s="372"/>
      <c r="C39" s="373"/>
      <c r="D39" s="375"/>
      <c r="E39" s="370"/>
      <c r="F39" s="60">
        <f t="shared" si="2"/>
        <v>344578.19</v>
      </c>
      <c r="G39" s="60">
        <f t="shared" si="3"/>
        <v>344578.19</v>
      </c>
      <c r="H39" s="60"/>
      <c r="I39" s="371">
        <f t="shared" si="4"/>
        <v>22467.49</v>
      </c>
      <c r="J39" s="371"/>
      <c r="K39" s="371">
        <f t="shared" si="6"/>
        <v>3679.6</v>
      </c>
      <c r="L39" s="60">
        <f t="shared" si="1"/>
        <v>370725.28</v>
      </c>
      <c r="M39" s="371"/>
      <c r="N39" s="60"/>
      <c r="O39" s="48"/>
      <c r="P39" s="48"/>
      <c r="Q39" s="48"/>
    </row>
    <row r="40">
      <c r="A40" s="43" t="s">
        <v>563</v>
      </c>
      <c r="B40" s="372"/>
      <c r="C40" s="373"/>
      <c r="D40" s="377"/>
      <c r="E40" s="384"/>
      <c r="F40" s="60">
        <f t="shared" si="2"/>
        <v>344578.19</v>
      </c>
      <c r="G40" s="60">
        <f t="shared" si="3"/>
        <v>344578.19</v>
      </c>
      <c r="H40" s="60"/>
      <c r="I40" s="371">
        <f t="shared" si="4"/>
        <v>22467.49</v>
      </c>
      <c r="J40" s="371"/>
      <c r="K40" s="371">
        <f t="shared" si="6"/>
        <v>3679.6</v>
      </c>
      <c r="L40" s="60">
        <f t="shared" si="1"/>
        <v>370725.28</v>
      </c>
      <c r="M40" s="60"/>
      <c r="N40" s="60"/>
      <c r="O40" s="48"/>
      <c r="P40" s="48"/>
      <c r="Q40" s="48"/>
    </row>
    <row r="41">
      <c r="A41" s="43" t="s">
        <v>563</v>
      </c>
      <c r="B41" s="372"/>
      <c r="C41" s="373"/>
      <c r="D41" s="377"/>
      <c r="E41" s="370"/>
      <c r="F41" s="60">
        <f t="shared" si="2"/>
        <v>344578.19</v>
      </c>
      <c r="G41" s="60">
        <f t="shared" si="3"/>
        <v>344578.19</v>
      </c>
      <c r="H41" s="60"/>
      <c r="I41" s="371">
        <f t="shared" si="4"/>
        <v>22467.49</v>
      </c>
      <c r="J41" s="371"/>
      <c r="K41" s="371">
        <f t="shared" si="6"/>
        <v>3679.6</v>
      </c>
      <c r="L41" s="60">
        <f t="shared" si="1"/>
        <v>370725.28</v>
      </c>
      <c r="M41" s="371"/>
      <c r="N41" s="60"/>
      <c r="O41" s="48"/>
      <c r="P41" s="48"/>
      <c r="Q41" s="48"/>
    </row>
    <row r="42">
      <c r="A42" s="376" t="s">
        <v>563</v>
      </c>
      <c r="B42" s="372"/>
      <c r="C42" s="373"/>
      <c r="D42" s="375"/>
      <c r="E42" s="378"/>
      <c r="F42" s="379">
        <f t="shared" si="2"/>
        <v>344578.19</v>
      </c>
      <c r="G42" s="379">
        <f t="shared" si="3"/>
        <v>344578.19</v>
      </c>
      <c r="H42" s="379"/>
      <c r="I42" s="371">
        <f t="shared" si="4"/>
        <v>22467.49</v>
      </c>
      <c r="J42" s="371"/>
      <c r="K42" s="380">
        <f t="shared" si="6"/>
        <v>3679.6</v>
      </c>
      <c r="L42" s="379">
        <f t="shared" si="1"/>
        <v>370725.28</v>
      </c>
      <c r="M42" s="380"/>
      <c r="N42" s="379"/>
      <c r="O42" s="381"/>
      <c r="P42" s="381"/>
      <c r="Q42" s="381"/>
      <c r="R42" s="382"/>
      <c r="S42" s="382"/>
      <c r="T42" s="382"/>
      <c r="U42" s="382"/>
      <c r="V42" s="382"/>
      <c r="W42" s="382"/>
      <c r="X42" s="382"/>
      <c r="Y42" s="382"/>
      <c r="Z42" s="382"/>
      <c r="AA42" s="382"/>
    </row>
    <row r="43">
      <c r="A43" s="43" t="s">
        <v>563</v>
      </c>
      <c r="B43" s="372"/>
      <c r="C43" s="373"/>
      <c r="D43" s="375"/>
      <c r="E43" s="383"/>
      <c r="F43" s="60">
        <f t="shared" si="2"/>
        <v>344578.19</v>
      </c>
      <c r="G43" s="60">
        <f t="shared" si="3"/>
        <v>344578.19</v>
      </c>
      <c r="H43" s="60"/>
      <c r="I43" s="371">
        <f t="shared" si="4"/>
        <v>22467.49</v>
      </c>
      <c r="J43" s="371"/>
      <c r="K43" s="371">
        <f t="shared" si="6"/>
        <v>3679.6</v>
      </c>
      <c r="L43" s="60">
        <f t="shared" si="1"/>
        <v>370725.28</v>
      </c>
      <c r="M43" s="60"/>
      <c r="N43" s="60"/>
      <c r="O43" s="48"/>
      <c r="P43" s="48"/>
      <c r="Q43" s="48"/>
    </row>
    <row r="44">
      <c r="A44" s="43" t="s">
        <v>563</v>
      </c>
      <c r="B44" s="372"/>
      <c r="C44" s="373"/>
      <c r="D44" s="375"/>
      <c r="E44" s="370"/>
      <c r="F44" s="60">
        <f t="shared" si="2"/>
        <v>344578.19</v>
      </c>
      <c r="G44" s="60">
        <f t="shared" si="3"/>
        <v>344578.19</v>
      </c>
      <c r="H44" s="60"/>
      <c r="I44" s="371">
        <f t="shared" si="4"/>
        <v>22467.49</v>
      </c>
      <c r="J44" s="371"/>
      <c r="K44" s="371">
        <f t="shared" si="6"/>
        <v>3679.6</v>
      </c>
      <c r="L44" s="60">
        <f t="shared" si="1"/>
        <v>370725.28</v>
      </c>
      <c r="M44" s="60"/>
      <c r="N44" s="60"/>
      <c r="O44" s="48"/>
      <c r="P44" s="48"/>
      <c r="Q44" s="48"/>
    </row>
    <row r="45">
      <c r="A45" s="43" t="s">
        <v>563</v>
      </c>
      <c r="B45" s="372"/>
      <c r="C45" s="373"/>
      <c r="D45" s="375"/>
      <c r="E45" s="370"/>
      <c r="F45" s="60">
        <f t="shared" si="2"/>
        <v>344578.19</v>
      </c>
      <c r="G45" s="60">
        <f t="shared" si="3"/>
        <v>344578.19</v>
      </c>
      <c r="H45" s="60"/>
      <c r="I45" s="371">
        <f t="shared" si="4"/>
        <v>22467.49</v>
      </c>
      <c r="J45" s="371"/>
      <c r="K45" s="371">
        <f t="shared" si="6"/>
        <v>3679.6</v>
      </c>
      <c r="L45" s="60">
        <f t="shared" si="1"/>
        <v>370725.28</v>
      </c>
      <c r="M45" s="371"/>
      <c r="N45" s="60"/>
      <c r="O45" s="48"/>
      <c r="P45" s="48"/>
      <c r="Q45" s="48"/>
    </row>
    <row r="46">
      <c r="A46" s="376" t="s">
        <v>563</v>
      </c>
      <c r="B46" s="372"/>
      <c r="C46" s="373"/>
      <c r="D46" s="375"/>
      <c r="E46" s="385"/>
      <c r="F46" s="379">
        <f t="shared" si="2"/>
        <v>344578.19</v>
      </c>
      <c r="G46" s="379">
        <f t="shared" si="3"/>
        <v>344578.19</v>
      </c>
      <c r="H46" s="379"/>
      <c r="I46" s="371">
        <f t="shared" si="4"/>
        <v>22467.49</v>
      </c>
      <c r="J46" s="371"/>
      <c r="K46" s="380">
        <f t="shared" si="6"/>
        <v>3679.6</v>
      </c>
      <c r="L46" s="379">
        <f t="shared" si="1"/>
        <v>370725.28</v>
      </c>
      <c r="M46" s="380"/>
      <c r="N46" s="379"/>
      <c r="O46" s="381"/>
      <c r="P46" s="381"/>
      <c r="Q46" s="381"/>
      <c r="R46" s="382"/>
      <c r="S46" s="382"/>
      <c r="T46" s="382"/>
      <c r="U46" s="382"/>
      <c r="V46" s="382"/>
      <c r="W46" s="382"/>
      <c r="X46" s="382"/>
      <c r="Y46" s="382"/>
      <c r="Z46" s="382"/>
      <c r="AA46" s="382"/>
    </row>
    <row r="47">
      <c r="A47" s="43" t="s">
        <v>563</v>
      </c>
      <c r="B47" s="372"/>
      <c r="C47" s="373"/>
      <c r="D47" s="375"/>
      <c r="E47" s="383"/>
      <c r="F47" s="60">
        <f t="shared" si="2"/>
        <v>344578.19</v>
      </c>
      <c r="G47" s="60">
        <f t="shared" si="3"/>
        <v>344578.19</v>
      </c>
      <c r="H47" s="60"/>
      <c r="I47" s="371">
        <f t="shared" si="4"/>
        <v>22467.49</v>
      </c>
      <c r="J47" s="371"/>
      <c r="K47" s="371">
        <f t="shared" si="6"/>
        <v>3679.6</v>
      </c>
      <c r="L47" s="60">
        <f t="shared" si="1"/>
        <v>370725.28</v>
      </c>
      <c r="M47" s="371"/>
      <c r="N47" s="60"/>
      <c r="O47" s="48"/>
      <c r="P47" s="48"/>
      <c r="Q47" s="48"/>
    </row>
    <row r="48">
      <c r="A48" s="43" t="s">
        <v>563</v>
      </c>
      <c r="B48" s="372"/>
      <c r="C48" s="373"/>
      <c r="D48" s="375"/>
      <c r="E48" s="370"/>
      <c r="F48" s="60">
        <f t="shared" si="2"/>
        <v>344578.19</v>
      </c>
      <c r="G48" s="60">
        <f t="shared" si="3"/>
        <v>344578.19</v>
      </c>
      <c r="H48" s="60"/>
      <c r="I48" s="371">
        <f t="shared" si="4"/>
        <v>22467.49</v>
      </c>
      <c r="J48" s="371"/>
      <c r="K48" s="371">
        <f t="shared" si="6"/>
        <v>3679.6</v>
      </c>
      <c r="L48" s="60">
        <f t="shared" si="1"/>
        <v>370725.28</v>
      </c>
      <c r="M48" s="371"/>
      <c r="N48" s="60"/>
      <c r="O48" s="48"/>
      <c r="P48" s="48"/>
      <c r="Q48" s="48"/>
    </row>
    <row r="49">
      <c r="A49" s="43" t="s">
        <v>563</v>
      </c>
      <c r="B49" s="372"/>
      <c r="C49" s="373"/>
      <c r="D49" s="375"/>
      <c r="E49" s="370"/>
      <c r="F49" s="60">
        <f t="shared" si="2"/>
        <v>344578.19</v>
      </c>
      <c r="G49" s="60">
        <f t="shared" si="3"/>
        <v>344578.19</v>
      </c>
      <c r="H49" s="60"/>
      <c r="I49" s="371">
        <f t="shared" si="4"/>
        <v>22467.49</v>
      </c>
      <c r="J49" s="371"/>
      <c r="K49" s="371">
        <f t="shared" si="6"/>
        <v>3679.6</v>
      </c>
      <c r="L49" s="60">
        <f t="shared" si="1"/>
        <v>370725.28</v>
      </c>
      <c r="M49" s="371"/>
      <c r="N49" s="60"/>
      <c r="O49" s="48"/>
      <c r="P49" s="48"/>
      <c r="Q49" s="48"/>
    </row>
    <row r="50">
      <c r="A50" s="376" t="s">
        <v>563</v>
      </c>
      <c r="B50" s="372"/>
      <c r="C50" s="373"/>
      <c r="D50" s="375"/>
      <c r="E50" s="378"/>
      <c r="F50" s="379">
        <f t="shared" si="2"/>
        <v>344578.19</v>
      </c>
      <c r="G50" s="379">
        <f t="shared" si="3"/>
        <v>344578.19</v>
      </c>
      <c r="H50" s="379"/>
      <c r="I50" s="371">
        <f t="shared" si="4"/>
        <v>22467.49</v>
      </c>
      <c r="J50" s="371"/>
      <c r="K50" s="380">
        <f t="shared" si="6"/>
        <v>3679.6</v>
      </c>
      <c r="L50" s="379">
        <f t="shared" si="1"/>
        <v>370725.28</v>
      </c>
      <c r="M50" s="380"/>
      <c r="N50" s="379"/>
      <c r="O50" s="376"/>
      <c r="P50" s="381"/>
      <c r="Q50" s="381"/>
      <c r="R50" s="382"/>
      <c r="S50" s="382"/>
      <c r="T50" s="382"/>
      <c r="U50" s="382"/>
      <c r="V50" s="382"/>
      <c r="W50" s="382"/>
      <c r="X50" s="382"/>
      <c r="Y50" s="382"/>
      <c r="Z50" s="382"/>
      <c r="AA50" s="382"/>
    </row>
    <row r="51">
      <c r="A51" s="43" t="s">
        <v>563</v>
      </c>
      <c r="B51" s="372"/>
      <c r="C51" s="373"/>
      <c r="D51" s="375"/>
      <c r="E51" s="370"/>
      <c r="F51" s="60">
        <f t="shared" si="2"/>
        <v>344578.19</v>
      </c>
      <c r="G51" s="60">
        <f t="shared" si="3"/>
        <v>344578.19</v>
      </c>
      <c r="H51" s="60"/>
      <c r="I51" s="371">
        <f t="shared" si="4"/>
        <v>22467.49</v>
      </c>
      <c r="J51" s="371"/>
      <c r="K51" s="371">
        <f t="shared" si="6"/>
        <v>3679.6</v>
      </c>
      <c r="L51" s="60">
        <f t="shared" si="1"/>
        <v>370725.28</v>
      </c>
      <c r="M51" s="60"/>
      <c r="N51" s="60"/>
      <c r="O51" s="48"/>
      <c r="P51" s="48"/>
      <c r="Q51" s="48"/>
    </row>
    <row r="52">
      <c r="A52" s="43" t="s">
        <v>563</v>
      </c>
      <c r="B52" s="372"/>
      <c r="C52" s="373"/>
      <c r="D52" s="375"/>
      <c r="E52" s="370"/>
      <c r="F52" s="60">
        <f t="shared" si="2"/>
        <v>344578.19</v>
      </c>
      <c r="G52" s="60">
        <f t="shared" si="3"/>
        <v>344578.19</v>
      </c>
      <c r="H52" s="60"/>
      <c r="I52" s="371">
        <f t="shared" si="4"/>
        <v>22467.49</v>
      </c>
      <c r="J52" s="371"/>
      <c r="K52" s="371">
        <f t="shared" si="6"/>
        <v>3679.6</v>
      </c>
      <c r="L52" s="60">
        <f t="shared" si="1"/>
        <v>370725.28</v>
      </c>
      <c r="M52" s="371"/>
      <c r="N52" s="60"/>
      <c r="O52" s="48"/>
      <c r="P52" s="48"/>
      <c r="Q52" s="48"/>
    </row>
    <row r="53">
      <c r="A53" s="43" t="s">
        <v>563</v>
      </c>
      <c r="B53" s="372"/>
      <c r="C53" s="373"/>
      <c r="D53" s="375"/>
      <c r="E53" s="370"/>
      <c r="F53" s="60">
        <f t="shared" si="2"/>
        <v>344578.19</v>
      </c>
      <c r="G53" s="60">
        <f t="shared" si="3"/>
        <v>344578.19</v>
      </c>
      <c r="H53" s="60"/>
      <c r="I53" s="371">
        <f t="shared" si="4"/>
        <v>22467.49</v>
      </c>
      <c r="J53" s="371"/>
      <c r="K53" s="371">
        <f t="shared" si="6"/>
        <v>3679.6</v>
      </c>
      <c r="L53" s="60">
        <f t="shared" si="1"/>
        <v>370725.28</v>
      </c>
      <c r="M53" s="60"/>
      <c r="N53" s="60"/>
      <c r="O53" s="48"/>
      <c r="P53" s="48"/>
      <c r="Q53" s="48"/>
    </row>
    <row r="54">
      <c r="A54" s="43" t="s">
        <v>563</v>
      </c>
      <c r="B54" s="372"/>
      <c r="C54" s="373"/>
      <c r="D54" s="375"/>
      <c r="E54" s="370"/>
      <c r="F54" s="60">
        <f t="shared" si="2"/>
        <v>344578.19</v>
      </c>
      <c r="G54" s="60">
        <f t="shared" si="3"/>
        <v>344578.19</v>
      </c>
      <c r="H54" s="60"/>
      <c r="I54" s="371">
        <f t="shared" si="4"/>
        <v>22467.49</v>
      </c>
      <c r="J54" s="371"/>
      <c r="K54" s="371">
        <f t="shared" si="6"/>
        <v>3679.6</v>
      </c>
      <c r="L54" s="60">
        <f t="shared" si="1"/>
        <v>370725.28</v>
      </c>
      <c r="M54" s="371"/>
      <c r="N54" s="60"/>
      <c r="O54" s="48"/>
      <c r="P54" s="48"/>
      <c r="Q54" s="48"/>
    </row>
    <row r="55">
      <c r="A55" s="43" t="s">
        <v>563</v>
      </c>
      <c r="C55" s="370"/>
      <c r="D55" s="388"/>
      <c r="E55" s="370"/>
      <c r="F55" s="60">
        <f t="shared" si="2"/>
        <v>344578.19</v>
      </c>
      <c r="G55" s="60">
        <f t="shared" si="3"/>
        <v>344578.19</v>
      </c>
      <c r="H55" s="60"/>
      <c r="I55" s="371">
        <f t="shared" si="4"/>
        <v>22467.49</v>
      </c>
      <c r="J55" s="371"/>
      <c r="K55" s="371">
        <f t="shared" si="6"/>
        <v>3679.6</v>
      </c>
      <c r="L55" s="60">
        <f t="shared" si="1"/>
        <v>370725.28</v>
      </c>
      <c r="M55" s="60"/>
      <c r="N55" s="60"/>
      <c r="O55" s="48"/>
      <c r="P55" s="48"/>
      <c r="Q55" s="48"/>
    </row>
    <row r="56">
      <c r="A56" s="43" t="s">
        <v>563</v>
      </c>
      <c r="B56" s="389"/>
      <c r="C56" s="370"/>
      <c r="D56" s="388"/>
      <c r="E56" s="370"/>
      <c r="F56" s="60">
        <f t="shared" si="2"/>
        <v>344578.19</v>
      </c>
      <c r="G56" s="60">
        <f t="shared" si="3"/>
        <v>344578.19</v>
      </c>
      <c r="H56" s="60"/>
      <c r="I56" s="371">
        <f t="shared" si="4"/>
        <v>22467.49</v>
      </c>
      <c r="J56" s="371"/>
      <c r="K56" s="371">
        <f t="shared" si="6"/>
        <v>3679.6</v>
      </c>
      <c r="L56" s="60">
        <f t="shared" si="1"/>
        <v>370725.28</v>
      </c>
      <c r="M56" s="60"/>
      <c r="N56" s="60"/>
      <c r="O56" s="48"/>
      <c r="P56" s="48"/>
      <c r="Q56" s="48"/>
    </row>
    <row r="57">
      <c r="A57" s="43" t="s">
        <v>563</v>
      </c>
      <c r="B57" s="389"/>
      <c r="C57" s="370"/>
      <c r="D57" s="388"/>
      <c r="E57" s="370"/>
      <c r="F57" s="60">
        <f t="shared" si="2"/>
        <v>344578.19</v>
      </c>
      <c r="G57" s="60">
        <f t="shared" si="3"/>
        <v>344578.19</v>
      </c>
      <c r="H57" s="60"/>
      <c r="I57" s="371">
        <f>I56+413.23+0.2</f>
        <v>22880.92</v>
      </c>
      <c r="J57" s="371"/>
      <c r="K57" s="371">
        <f t="shared" si="6"/>
        <v>3679.6</v>
      </c>
      <c r="L57" s="60">
        <f t="shared" si="1"/>
        <v>371138.71</v>
      </c>
      <c r="M57" s="371"/>
      <c r="N57" s="60"/>
      <c r="O57" s="48"/>
      <c r="P57" s="48"/>
      <c r="Q57" s="48"/>
    </row>
    <row r="58">
      <c r="A58" s="376" t="s">
        <v>563</v>
      </c>
      <c r="B58" s="390"/>
      <c r="C58" s="378"/>
      <c r="D58" s="391"/>
      <c r="E58" s="387"/>
      <c r="F58" s="379">
        <f t="shared" si="2"/>
        <v>344578.19</v>
      </c>
      <c r="G58" s="379">
        <f t="shared" si="3"/>
        <v>344578.19</v>
      </c>
      <c r="H58" s="379"/>
      <c r="I58" s="371">
        <f>I57</f>
        <v>22880.92</v>
      </c>
      <c r="J58" s="371">
        <v>2724356.22</v>
      </c>
      <c r="K58" s="380">
        <f t="shared" si="6"/>
        <v>3679.6</v>
      </c>
      <c r="L58" s="379">
        <f t="shared" si="1"/>
        <v>3095494.93</v>
      </c>
      <c r="M58" s="380">
        <v>3428283.31</v>
      </c>
      <c r="N58" s="379"/>
      <c r="O58" s="376"/>
      <c r="P58" s="381"/>
      <c r="Q58" s="381"/>
      <c r="R58" s="382"/>
      <c r="S58" s="382"/>
      <c r="T58" s="382"/>
      <c r="U58" s="382"/>
      <c r="V58" s="382"/>
      <c r="W58" s="382"/>
      <c r="X58" s="382"/>
      <c r="Y58" s="382"/>
      <c r="Z58" s="382"/>
      <c r="AA58" s="382"/>
    </row>
    <row r="59">
      <c r="A59" s="367"/>
      <c r="B59" s="389"/>
      <c r="C59" s="370"/>
      <c r="D59" s="388"/>
      <c r="E59" s="370"/>
      <c r="F59" s="371"/>
      <c r="G59" s="43">
        <v>275274.66</v>
      </c>
      <c r="H59" s="60"/>
      <c r="I59" s="371" t="s">
        <v>564</v>
      </c>
      <c r="J59" s="371">
        <v>2724873.36</v>
      </c>
      <c r="K59" s="371"/>
      <c r="L59" s="48"/>
      <c r="M59" s="60"/>
      <c r="N59" s="371"/>
      <c r="O59" s="43"/>
      <c r="P59" s="48"/>
      <c r="Q59" s="48"/>
    </row>
    <row r="60">
      <c r="A60" s="392"/>
      <c r="B60" s="389"/>
      <c r="C60" s="370"/>
      <c r="D60" s="388"/>
      <c r="E60" s="384"/>
      <c r="F60" s="60"/>
      <c r="G60" s="371">
        <f>G58-G59</f>
        <v>69303.53</v>
      </c>
      <c r="H60" s="371" t="s">
        <v>565</v>
      </c>
      <c r="I60" s="60"/>
      <c r="J60" s="60">
        <f>J58-J59</f>
        <v>-517.14</v>
      </c>
      <c r="K60" s="60"/>
      <c r="L60" s="48"/>
      <c r="M60" s="60"/>
      <c r="N60" s="371"/>
      <c r="O60" s="43"/>
      <c r="P60" s="48"/>
      <c r="Q60" s="48"/>
    </row>
    <row r="61">
      <c r="A61" s="367"/>
      <c r="B61" s="389"/>
      <c r="C61" s="370"/>
      <c r="D61" s="388"/>
      <c r="E61" s="384"/>
      <c r="F61" s="60"/>
      <c r="G61" s="48"/>
      <c r="H61" s="60"/>
      <c r="I61" s="60"/>
      <c r="J61" s="60"/>
      <c r="K61" s="60"/>
      <c r="L61" s="48"/>
      <c r="M61" s="371"/>
      <c r="N61" s="371"/>
      <c r="O61" s="43"/>
      <c r="P61" s="48"/>
      <c r="Q61" s="48"/>
    </row>
    <row r="62">
      <c r="A62" s="392"/>
      <c r="B62" s="389"/>
      <c r="C62" s="370"/>
      <c r="D62" s="393"/>
      <c r="E62" s="384"/>
      <c r="F62" s="60"/>
      <c r="G62" s="48"/>
      <c r="H62" s="60"/>
      <c r="I62" s="60"/>
      <c r="J62" s="60"/>
      <c r="K62" s="60"/>
      <c r="L62" s="48"/>
      <c r="M62" s="60"/>
      <c r="N62" s="394"/>
      <c r="O62" s="43"/>
      <c r="P62" s="48"/>
      <c r="Q62" s="48"/>
    </row>
    <row r="63" ht="18.0" customHeight="1">
      <c r="A63" s="392"/>
      <c r="B63" s="389"/>
      <c r="C63" s="370"/>
      <c r="D63" s="388"/>
      <c r="E63" s="384"/>
      <c r="F63" s="60"/>
      <c r="G63" s="48"/>
      <c r="H63" s="60"/>
      <c r="I63" s="60"/>
      <c r="J63" s="60"/>
      <c r="K63" s="60"/>
      <c r="L63" s="43"/>
      <c r="M63" s="371"/>
      <c r="N63" s="60"/>
      <c r="O63" s="43"/>
      <c r="P63" s="48"/>
      <c r="Q63" s="48"/>
    </row>
    <row r="64">
      <c r="A64" s="367"/>
      <c r="B64" s="389"/>
      <c r="C64" s="370"/>
      <c r="D64" s="388"/>
      <c r="E64" s="370"/>
      <c r="F64" s="60"/>
      <c r="G64" s="48"/>
      <c r="H64" s="60"/>
      <c r="I64" s="60"/>
      <c r="J64" s="60"/>
      <c r="K64" s="60"/>
      <c r="L64" s="48"/>
      <c r="M64" s="371"/>
      <c r="N64" s="60"/>
      <c r="O64" s="48"/>
      <c r="P64" s="48"/>
      <c r="Q64" s="48"/>
    </row>
    <row r="65">
      <c r="A65" s="392"/>
      <c r="B65" s="389"/>
      <c r="C65" s="370"/>
      <c r="D65" s="388"/>
      <c r="E65" s="370"/>
      <c r="F65" s="60"/>
      <c r="G65" s="48"/>
      <c r="H65" s="60"/>
      <c r="I65" s="60"/>
      <c r="J65" s="60"/>
      <c r="K65" s="60"/>
      <c r="L65" s="48"/>
      <c r="M65" s="60"/>
      <c r="N65" s="60"/>
      <c r="O65" s="43"/>
      <c r="P65" s="48"/>
      <c r="Q65" s="48"/>
    </row>
    <row r="66">
      <c r="A66" s="392"/>
      <c r="B66" s="389"/>
      <c r="C66" s="370"/>
      <c r="D66" s="388"/>
      <c r="E66" s="384"/>
      <c r="F66" s="60"/>
      <c r="G66" s="48"/>
      <c r="H66" s="60"/>
      <c r="I66" s="60"/>
      <c r="J66" s="60"/>
      <c r="K66" s="60"/>
      <c r="L66" s="48"/>
      <c r="M66" s="60"/>
      <c r="N66" s="60"/>
      <c r="O66" s="48"/>
      <c r="P66" s="48"/>
      <c r="Q66" s="48"/>
    </row>
    <row r="67">
      <c r="A67" s="367"/>
      <c r="B67" s="389"/>
      <c r="C67" s="370"/>
      <c r="D67" s="388"/>
      <c r="E67" s="383"/>
      <c r="F67" s="60"/>
      <c r="G67" s="48"/>
      <c r="H67" s="60"/>
      <c r="I67" s="60"/>
      <c r="J67" s="60"/>
      <c r="K67" s="60"/>
      <c r="L67" s="48"/>
      <c r="M67" s="60"/>
      <c r="N67" s="60"/>
      <c r="O67" s="48"/>
      <c r="P67" s="48"/>
      <c r="Q67" s="48"/>
    </row>
    <row r="68">
      <c r="A68" s="392"/>
      <c r="B68" s="389"/>
      <c r="C68" s="370"/>
      <c r="D68" s="388"/>
      <c r="E68" s="384"/>
      <c r="F68" s="60"/>
      <c r="G68" s="48"/>
      <c r="H68" s="60"/>
      <c r="I68" s="60"/>
      <c r="J68" s="60"/>
      <c r="K68" s="60"/>
      <c r="L68" s="48"/>
      <c r="M68" s="60"/>
      <c r="N68" s="60"/>
      <c r="O68" s="48"/>
      <c r="P68" s="48"/>
      <c r="Q68" s="48"/>
    </row>
    <row r="69">
      <c r="A69" s="392"/>
      <c r="B69" s="389"/>
      <c r="C69" s="370"/>
      <c r="D69" s="388"/>
      <c r="E69" s="383"/>
      <c r="F69" s="60"/>
      <c r="G69" s="48"/>
      <c r="H69" s="60"/>
      <c r="I69" s="60"/>
      <c r="J69" s="60"/>
      <c r="K69" s="60"/>
      <c r="L69" s="48"/>
      <c r="M69" s="60"/>
      <c r="N69" s="60"/>
      <c r="O69" s="48"/>
      <c r="P69" s="48"/>
      <c r="Q69" s="48"/>
    </row>
    <row r="70">
      <c r="A70" s="392"/>
      <c r="B70" s="389"/>
      <c r="C70" s="370"/>
      <c r="D70" s="388"/>
      <c r="E70" s="384"/>
      <c r="F70" s="60"/>
      <c r="G70" s="48"/>
      <c r="H70" s="60"/>
      <c r="I70" s="60"/>
      <c r="J70" s="60"/>
      <c r="K70" s="60"/>
      <c r="L70" s="48"/>
      <c r="M70" s="60"/>
      <c r="N70" s="60"/>
      <c r="O70" s="48"/>
      <c r="P70" s="48"/>
      <c r="Q70" s="48"/>
    </row>
    <row r="71">
      <c r="A71" s="367"/>
      <c r="B71" s="389"/>
      <c r="C71" s="370"/>
      <c r="D71" s="388"/>
      <c r="E71" s="370"/>
      <c r="F71" s="60"/>
      <c r="G71" s="48"/>
      <c r="H71" s="60"/>
      <c r="I71" s="60"/>
      <c r="J71" s="60"/>
      <c r="K71" s="60"/>
      <c r="L71" s="48"/>
      <c r="M71" s="60"/>
      <c r="N71" s="60"/>
      <c r="O71" s="48"/>
      <c r="P71" s="48"/>
      <c r="Q71" s="48"/>
    </row>
    <row r="72">
      <c r="A72" s="367"/>
      <c r="B72" s="389"/>
      <c r="C72" s="370"/>
      <c r="D72" s="388"/>
      <c r="E72" s="370"/>
      <c r="F72" s="60"/>
      <c r="G72" s="48"/>
      <c r="H72" s="60"/>
      <c r="I72" s="60"/>
      <c r="J72" s="60"/>
      <c r="K72" s="60"/>
      <c r="L72" s="48"/>
      <c r="M72" s="60"/>
      <c r="N72" s="60"/>
      <c r="O72" s="48"/>
      <c r="P72" s="48"/>
      <c r="Q72" s="48"/>
    </row>
    <row r="73">
      <c r="A73" s="392"/>
      <c r="B73" s="389"/>
      <c r="C73" s="370"/>
      <c r="D73" s="388"/>
      <c r="E73" s="384"/>
      <c r="F73" s="60"/>
      <c r="G73" s="48"/>
      <c r="H73" s="60"/>
      <c r="I73" s="60"/>
      <c r="J73" s="60"/>
      <c r="K73" s="60"/>
      <c r="L73" s="48"/>
      <c r="M73" s="60"/>
      <c r="N73" s="60"/>
      <c r="O73" s="48"/>
      <c r="P73" s="48"/>
      <c r="Q73" s="48"/>
    </row>
    <row r="74">
      <c r="A74" s="392"/>
      <c r="B74" s="389"/>
      <c r="C74" s="370"/>
      <c r="D74" s="388"/>
      <c r="E74" s="383"/>
      <c r="F74" s="60"/>
      <c r="G74" s="48"/>
      <c r="H74" s="60"/>
      <c r="I74" s="60"/>
      <c r="J74" s="60"/>
      <c r="K74" s="60"/>
      <c r="L74" s="48"/>
      <c r="M74" s="60"/>
      <c r="N74" s="60"/>
      <c r="O74" s="48"/>
      <c r="P74" s="48"/>
      <c r="Q74" s="48"/>
    </row>
    <row r="75">
      <c r="A75" s="392"/>
      <c r="B75" s="389"/>
      <c r="C75" s="370"/>
      <c r="D75" s="388"/>
      <c r="E75" s="370"/>
      <c r="F75" s="60"/>
      <c r="G75" s="48"/>
      <c r="H75" s="60"/>
      <c r="I75" s="60"/>
      <c r="J75" s="60"/>
      <c r="K75" s="60"/>
      <c r="L75" s="48"/>
      <c r="M75" s="60"/>
      <c r="N75" s="60"/>
      <c r="O75" s="48"/>
      <c r="P75" s="48"/>
      <c r="Q75" s="48"/>
    </row>
    <row r="76">
      <c r="A76" s="367"/>
      <c r="B76" s="389"/>
      <c r="C76" s="370"/>
      <c r="D76" s="388"/>
      <c r="E76" s="370"/>
      <c r="F76" s="60"/>
      <c r="G76" s="48"/>
      <c r="H76" s="60"/>
      <c r="I76" s="60"/>
      <c r="J76" s="60"/>
      <c r="K76" s="60"/>
      <c r="L76" s="48"/>
      <c r="M76" s="60"/>
      <c r="N76" s="60"/>
      <c r="O76" s="48"/>
      <c r="P76" s="48"/>
      <c r="Q76" s="48"/>
    </row>
    <row r="77">
      <c r="A77" s="367"/>
      <c r="B77" s="389"/>
      <c r="C77" s="370"/>
      <c r="D77" s="388"/>
      <c r="E77" s="370"/>
      <c r="F77" s="60"/>
      <c r="G77" s="48"/>
      <c r="H77" s="60"/>
      <c r="I77" s="60"/>
      <c r="J77" s="60"/>
      <c r="K77" s="60"/>
      <c r="L77" s="48"/>
      <c r="M77" s="60"/>
      <c r="N77" s="60"/>
      <c r="O77" s="48"/>
      <c r="P77" s="48"/>
      <c r="Q77" s="48"/>
    </row>
    <row r="78">
      <c r="A78" s="367"/>
      <c r="B78" s="389"/>
      <c r="C78" s="370"/>
      <c r="D78" s="393"/>
      <c r="E78" s="370"/>
      <c r="F78" s="60"/>
      <c r="G78" s="48"/>
      <c r="H78" s="60"/>
      <c r="I78" s="60"/>
      <c r="J78" s="60"/>
      <c r="K78" s="60"/>
      <c r="L78" s="48"/>
      <c r="M78" s="60"/>
      <c r="N78" s="60"/>
      <c r="O78" s="48"/>
      <c r="P78" s="48"/>
      <c r="Q78" s="48"/>
    </row>
    <row r="79">
      <c r="A79" s="367"/>
      <c r="B79" s="389"/>
      <c r="C79" s="370"/>
      <c r="D79" s="388"/>
      <c r="E79" s="384"/>
      <c r="F79" s="60"/>
      <c r="G79" s="48"/>
      <c r="H79" s="60"/>
      <c r="I79" s="60"/>
      <c r="J79" s="60"/>
      <c r="K79" s="60"/>
      <c r="L79" s="48"/>
      <c r="M79" s="60"/>
      <c r="N79" s="60"/>
      <c r="O79" s="48"/>
      <c r="P79" s="48"/>
      <c r="Q79" s="48"/>
    </row>
    <row r="80">
      <c r="A80" s="367"/>
      <c r="B80" s="389"/>
      <c r="C80" s="370"/>
      <c r="D80" s="388"/>
      <c r="E80" s="370"/>
      <c r="F80" s="60"/>
      <c r="G80" s="48"/>
      <c r="H80" s="60"/>
      <c r="I80" s="60"/>
      <c r="J80" s="60"/>
      <c r="K80" s="60"/>
      <c r="L80" s="48"/>
      <c r="M80" s="60"/>
      <c r="N80" s="60"/>
      <c r="O80" s="48"/>
      <c r="P80" s="48"/>
      <c r="Q80" s="48"/>
    </row>
    <row r="81">
      <c r="A81" s="367"/>
      <c r="B81" s="389"/>
      <c r="C81" s="370"/>
      <c r="D81" s="388"/>
      <c r="E81" s="384"/>
      <c r="F81" s="60"/>
      <c r="G81" s="48"/>
      <c r="H81" s="60"/>
      <c r="I81" s="60"/>
      <c r="J81" s="60"/>
      <c r="K81" s="60"/>
      <c r="L81" s="48"/>
      <c r="M81" s="60"/>
      <c r="N81" s="60"/>
      <c r="O81" s="48"/>
      <c r="P81" s="48"/>
      <c r="Q81" s="48"/>
    </row>
    <row r="82">
      <c r="A82" s="367"/>
      <c r="B82" s="389"/>
      <c r="C82" s="370"/>
      <c r="D82" s="388"/>
      <c r="E82" s="370"/>
      <c r="F82" s="60"/>
      <c r="G82" s="48"/>
      <c r="H82" s="60"/>
      <c r="I82" s="60"/>
      <c r="J82" s="60"/>
      <c r="K82" s="60"/>
      <c r="L82" s="48"/>
      <c r="M82" s="60"/>
      <c r="N82" s="60"/>
      <c r="O82" s="48"/>
      <c r="P82" s="48"/>
      <c r="Q82" s="48"/>
    </row>
    <row r="83">
      <c r="A83" s="367"/>
      <c r="B83" s="389"/>
      <c r="C83" s="370"/>
      <c r="D83" s="388"/>
      <c r="E83" s="370"/>
      <c r="F83" s="60"/>
      <c r="G83" s="48"/>
      <c r="H83" s="60"/>
      <c r="I83" s="60"/>
      <c r="J83" s="60"/>
      <c r="K83" s="60"/>
      <c r="L83" s="48"/>
      <c r="M83" s="60"/>
      <c r="N83" s="60"/>
      <c r="O83" s="48"/>
      <c r="P83" s="48"/>
      <c r="Q83" s="48"/>
    </row>
    <row r="84">
      <c r="A84" s="392"/>
      <c r="B84" s="389"/>
      <c r="C84" s="370"/>
      <c r="D84" s="388"/>
      <c r="E84" s="383"/>
      <c r="F84" s="60"/>
      <c r="G84" s="48"/>
      <c r="H84" s="60"/>
      <c r="I84" s="60"/>
      <c r="J84" s="60"/>
      <c r="K84" s="60"/>
      <c r="L84" s="48"/>
      <c r="M84" s="60"/>
      <c r="N84" s="60"/>
      <c r="O84" s="48"/>
      <c r="P84" s="48"/>
      <c r="Q84" s="48"/>
    </row>
    <row r="85">
      <c r="A85" s="392"/>
      <c r="B85" s="389"/>
      <c r="C85" s="370"/>
      <c r="D85" s="388"/>
      <c r="E85" s="370"/>
      <c r="F85" s="60"/>
      <c r="G85" s="48"/>
      <c r="H85" s="60"/>
      <c r="I85" s="60"/>
      <c r="J85" s="60"/>
      <c r="K85" s="60"/>
      <c r="L85" s="48"/>
      <c r="M85" s="60"/>
      <c r="N85" s="60"/>
      <c r="O85" s="48"/>
      <c r="P85" s="48"/>
      <c r="Q85" s="48"/>
    </row>
    <row r="86">
      <c r="A86" s="367"/>
      <c r="B86" s="389"/>
      <c r="C86" s="370"/>
      <c r="D86" s="388"/>
      <c r="E86" s="370"/>
      <c r="F86" s="60"/>
      <c r="G86" s="48"/>
      <c r="H86" s="60"/>
      <c r="I86" s="60"/>
      <c r="J86" s="60"/>
      <c r="K86" s="60"/>
      <c r="L86" s="48"/>
      <c r="M86" s="60"/>
      <c r="N86" s="60"/>
      <c r="O86" s="48"/>
      <c r="P86" s="48"/>
      <c r="Q86" s="48"/>
    </row>
    <row r="87">
      <c r="A87" s="392"/>
      <c r="B87" s="389"/>
      <c r="C87" s="370"/>
      <c r="D87" s="388"/>
      <c r="E87" s="384"/>
      <c r="F87" s="60"/>
      <c r="G87" s="48"/>
      <c r="H87" s="60"/>
      <c r="I87" s="60"/>
      <c r="J87" s="60"/>
      <c r="K87" s="60"/>
      <c r="L87" s="48"/>
      <c r="M87" s="60"/>
      <c r="N87" s="60"/>
      <c r="O87" s="48"/>
      <c r="P87" s="48"/>
      <c r="Q87" s="48"/>
    </row>
    <row r="88">
      <c r="A88" s="392"/>
      <c r="B88" s="389"/>
      <c r="C88" s="370"/>
      <c r="D88" s="388"/>
      <c r="E88" s="383"/>
      <c r="F88" s="60"/>
      <c r="G88" s="48"/>
      <c r="H88" s="60"/>
      <c r="I88" s="60"/>
      <c r="J88" s="60"/>
      <c r="K88" s="60"/>
      <c r="L88" s="48"/>
      <c r="M88" s="60"/>
      <c r="N88" s="60"/>
      <c r="O88" s="48"/>
      <c r="P88" s="48"/>
      <c r="Q88" s="48"/>
    </row>
    <row r="89">
      <c r="A89" s="392"/>
      <c r="B89" s="389"/>
      <c r="C89" s="370"/>
      <c r="D89" s="388"/>
      <c r="E89" s="370"/>
      <c r="F89" s="60"/>
      <c r="G89" s="48"/>
      <c r="H89" s="60"/>
      <c r="I89" s="60"/>
      <c r="J89" s="60"/>
      <c r="K89" s="60"/>
      <c r="L89" s="48"/>
      <c r="M89" s="60"/>
      <c r="N89" s="60"/>
      <c r="O89" s="48"/>
      <c r="P89" s="48"/>
      <c r="Q89" s="48"/>
    </row>
    <row r="90">
      <c r="A90" s="360"/>
      <c r="B90" s="360"/>
      <c r="C90" s="361"/>
      <c r="D90" s="360"/>
      <c r="E90" s="362"/>
      <c r="F90" s="60"/>
      <c r="G90" s="48"/>
      <c r="H90" s="60"/>
      <c r="I90" s="60"/>
      <c r="J90" s="60"/>
      <c r="K90" s="60"/>
      <c r="L90" s="48"/>
      <c r="M90" s="60"/>
      <c r="N90" s="60"/>
      <c r="O90" s="48"/>
      <c r="P90" s="48"/>
      <c r="Q90" s="48"/>
    </row>
    <row r="91">
      <c r="A91" s="367"/>
      <c r="B91" s="389"/>
      <c r="C91" s="370"/>
      <c r="D91" s="388"/>
      <c r="E91" s="370"/>
      <c r="F91" s="60"/>
      <c r="G91" s="48"/>
      <c r="H91" s="60"/>
      <c r="I91" s="60"/>
      <c r="J91" s="60"/>
      <c r="K91" s="60"/>
      <c r="L91" s="48"/>
      <c r="M91" s="60"/>
      <c r="N91" s="60"/>
      <c r="O91" s="48"/>
      <c r="P91" s="48"/>
      <c r="Q91" s="48"/>
    </row>
    <row r="92">
      <c r="A92" s="367"/>
      <c r="B92" s="389"/>
      <c r="C92" s="370"/>
      <c r="D92" s="393"/>
      <c r="E92" s="370"/>
      <c r="F92" s="60"/>
      <c r="G92" s="48"/>
      <c r="H92" s="60"/>
      <c r="I92" s="60"/>
      <c r="J92" s="60"/>
      <c r="K92" s="60"/>
      <c r="L92" s="48"/>
      <c r="M92" s="60"/>
      <c r="N92" s="60"/>
      <c r="O92" s="48"/>
      <c r="P92" s="48"/>
      <c r="Q92" s="48"/>
    </row>
    <row r="93">
      <c r="A93" s="367"/>
      <c r="B93" s="389"/>
      <c r="C93" s="370"/>
      <c r="D93" s="388"/>
      <c r="E93" s="370"/>
      <c r="F93" s="60"/>
      <c r="G93" s="48"/>
      <c r="H93" s="60"/>
      <c r="I93" s="60"/>
      <c r="J93" s="60"/>
      <c r="K93" s="60"/>
      <c r="L93" s="48"/>
      <c r="M93" s="60"/>
      <c r="N93" s="60"/>
      <c r="O93" s="48"/>
      <c r="P93" s="48"/>
      <c r="Q93" s="48"/>
    </row>
    <row r="94">
      <c r="A94" s="367"/>
      <c r="B94" s="389"/>
      <c r="C94" s="370"/>
      <c r="D94" s="388"/>
      <c r="E94" s="370"/>
      <c r="F94" s="60"/>
      <c r="G94" s="48"/>
      <c r="H94" s="60"/>
      <c r="I94" s="60"/>
      <c r="J94" s="60"/>
      <c r="K94" s="60"/>
      <c r="L94" s="48"/>
      <c r="M94" s="60"/>
      <c r="N94" s="60"/>
      <c r="O94" s="48"/>
      <c r="P94" s="48"/>
      <c r="Q94" s="48"/>
    </row>
    <row r="95">
      <c r="A95" s="367"/>
      <c r="B95" s="389"/>
      <c r="C95" s="370"/>
      <c r="D95" s="388"/>
      <c r="E95" s="370"/>
      <c r="F95" s="60"/>
      <c r="G95" s="48"/>
      <c r="H95" s="60"/>
      <c r="I95" s="60"/>
      <c r="J95" s="60"/>
      <c r="K95" s="60"/>
      <c r="L95" s="48"/>
      <c r="M95" s="60"/>
      <c r="N95" s="60"/>
      <c r="O95" s="48"/>
      <c r="P95" s="48"/>
      <c r="Q95" s="48"/>
    </row>
    <row r="96">
      <c r="A96" s="367"/>
      <c r="B96" s="389"/>
      <c r="C96" s="370"/>
      <c r="D96" s="388"/>
      <c r="E96" s="370"/>
      <c r="F96" s="60"/>
      <c r="G96" s="48"/>
      <c r="H96" s="60"/>
      <c r="I96" s="60"/>
      <c r="J96" s="60"/>
      <c r="K96" s="60"/>
      <c r="L96" s="48"/>
      <c r="M96" s="60"/>
      <c r="N96" s="60"/>
      <c r="O96" s="48"/>
      <c r="P96" s="48"/>
      <c r="Q96" s="48"/>
    </row>
    <row r="97">
      <c r="A97" s="392"/>
      <c r="B97" s="389"/>
      <c r="C97" s="370"/>
      <c r="D97" s="388"/>
      <c r="E97" s="370"/>
      <c r="F97" s="60"/>
      <c r="G97" s="48"/>
      <c r="H97" s="60"/>
      <c r="I97" s="60"/>
      <c r="J97" s="60"/>
      <c r="K97" s="60"/>
      <c r="L97" s="48"/>
      <c r="M97" s="60"/>
      <c r="N97" s="60"/>
      <c r="O97" s="48"/>
      <c r="P97" s="48"/>
      <c r="Q97" s="48"/>
    </row>
    <row r="98">
      <c r="A98" s="392"/>
      <c r="B98" s="389"/>
      <c r="C98" s="370"/>
      <c r="D98" s="388"/>
      <c r="E98" s="384"/>
      <c r="F98" s="60"/>
      <c r="G98" s="48"/>
      <c r="H98" s="60"/>
      <c r="I98" s="60"/>
      <c r="J98" s="60"/>
      <c r="K98" s="60"/>
      <c r="L98" s="48"/>
      <c r="M98" s="60"/>
      <c r="N98" s="60"/>
      <c r="O98" s="48"/>
      <c r="P98" s="48"/>
      <c r="Q98" s="48"/>
    </row>
    <row r="99">
      <c r="A99" s="367"/>
      <c r="B99" s="389"/>
      <c r="C99" s="370"/>
      <c r="D99" s="388"/>
      <c r="E99" s="383"/>
      <c r="F99" s="60"/>
      <c r="G99" s="48"/>
      <c r="H99" s="60"/>
      <c r="I99" s="60"/>
      <c r="J99" s="60"/>
      <c r="K99" s="60"/>
      <c r="L99" s="48"/>
      <c r="M99" s="60"/>
      <c r="N99" s="60"/>
      <c r="O99" s="48"/>
      <c r="P99" s="48"/>
      <c r="Q99" s="48"/>
    </row>
    <row r="100">
      <c r="A100" s="367"/>
      <c r="B100" s="389"/>
      <c r="C100" s="370"/>
      <c r="D100" s="388"/>
      <c r="E100" s="370"/>
      <c r="F100" s="60"/>
      <c r="G100" s="48"/>
      <c r="H100" s="60"/>
      <c r="I100" s="60"/>
      <c r="J100" s="60"/>
      <c r="K100" s="60"/>
      <c r="L100" s="48"/>
      <c r="M100" s="60"/>
      <c r="N100" s="60"/>
      <c r="O100" s="48"/>
      <c r="P100" s="48"/>
      <c r="Q100" s="48"/>
    </row>
    <row r="101">
      <c r="A101" s="392"/>
      <c r="B101" s="389"/>
      <c r="C101" s="370"/>
      <c r="D101" s="388"/>
      <c r="E101" s="384"/>
      <c r="F101" s="60"/>
      <c r="G101" s="48"/>
      <c r="H101" s="60"/>
      <c r="I101" s="60"/>
      <c r="J101" s="60"/>
      <c r="K101" s="60"/>
      <c r="L101" s="48"/>
      <c r="M101" s="60"/>
      <c r="N101" s="60"/>
      <c r="O101" s="48"/>
      <c r="P101" s="48"/>
      <c r="Q101" s="48"/>
    </row>
    <row r="102">
      <c r="A102" s="367"/>
      <c r="B102" s="389"/>
      <c r="C102" s="370"/>
      <c r="D102" s="388"/>
      <c r="E102" s="384"/>
      <c r="F102" s="60"/>
      <c r="G102" s="48"/>
      <c r="H102" s="60"/>
      <c r="I102" s="60"/>
      <c r="J102" s="60"/>
      <c r="K102" s="60"/>
      <c r="L102" s="48"/>
      <c r="M102" s="60"/>
      <c r="N102" s="60"/>
      <c r="O102" s="48"/>
      <c r="P102" s="48"/>
      <c r="Q102" s="48"/>
    </row>
    <row r="103">
      <c r="A103" s="392"/>
      <c r="B103" s="389"/>
      <c r="C103" s="370"/>
      <c r="D103" s="393"/>
      <c r="E103" s="384"/>
      <c r="F103" s="60"/>
      <c r="G103" s="48"/>
      <c r="H103" s="60"/>
      <c r="I103" s="60"/>
      <c r="J103" s="60"/>
      <c r="K103" s="60"/>
      <c r="L103" s="48"/>
      <c r="M103" s="60"/>
      <c r="N103" s="60"/>
      <c r="O103" s="48"/>
      <c r="P103" s="48"/>
      <c r="Q103" s="48"/>
    </row>
    <row r="104">
      <c r="A104" s="392"/>
      <c r="B104" s="389"/>
      <c r="C104" s="370"/>
      <c r="D104" s="388"/>
      <c r="E104" s="384"/>
      <c r="F104" s="60"/>
      <c r="G104" s="48"/>
      <c r="H104" s="60"/>
      <c r="I104" s="60"/>
      <c r="J104" s="60"/>
      <c r="K104" s="60"/>
      <c r="L104" s="48"/>
      <c r="M104" s="60"/>
      <c r="N104" s="60"/>
      <c r="O104" s="48"/>
      <c r="P104" s="48"/>
      <c r="Q104" s="48"/>
    </row>
    <row r="105">
      <c r="A105" s="367"/>
      <c r="B105" s="389"/>
      <c r="C105" s="370"/>
      <c r="D105" s="388"/>
      <c r="E105" s="370"/>
      <c r="F105" s="60"/>
      <c r="G105" s="48"/>
      <c r="H105" s="60"/>
      <c r="I105" s="60"/>
      <c r="J105" s="60"/>
      <c r="K105" s="60"/>
      <c r="L105" s="48"/>
      <c r="M105" s="60"/>
      <c r="N105" s="60"/>
      <c r="O105" s="48"/>
      <c r="P105" s="48"/>
      <c r="Q105" s="48"/>
    </row>
    <row r="106">
      <c r="A106" s="392"/>
      <c r="B106" s="389"/>
      <c r="C106" s="370"/>
      <c r="D106" s="388"/>
      <c r="E106" s="370"/>
      <c r="F106" s="60"/>
      <c r="G106" s="48"/>
      <c r="H106" s="60"/>
      <c r="I106" s="60"/>
      <c r="J106" s="60"/>
      <c r="K106" s="60"/>
      <c r="L106" s="48"/>
      <c r="M106" s="60"/>
      <c r="N106" s="60"/>
      <c r="O106" s="48"/>
      <c r="P106" s="48"/>
      <c r="Q106" s="48"/>
    </row>
    <row r="107">
      <c r="A107" s="392"/>
      <c r="B107" s="389"/>
      <c r="C107" s="370"/>
      <c r="D107" s="388"/>
      <c r="E107" s="384"/>
      <c r="F107" s="60"/>
      <c r="G107" s="48"/>
      <c r="H107" s="60"/>
      <c r="I107" s="60"/>
      <c r="J107" s="60"/>
      <c r="K107" s="60"/>
      <c r="L107" s="48"/>
      <c r="M107" s="60"/>
      <c r="N107" s="60"/>
      <c r="O107" s="48"/>
      <c r="P107" s="48"/>
      <c r="Q107" s="48"/>
    </row>
    <row r="108">
      <c r="A108" s="367"/>
      <c r="B108" s="389"/>
      <c r="C108" s="370"/>
      <c r="D108" s="388"/>
      <c r="E108" s="383"/>
      <c r="F108" s="60"/>
      <c r="G108" s="48"/>
      <c r="H108" s="60"/>
      <c r="I108" s="60"/>
      <c r="J108" s="60"/>
      <c r="K108" s="60"/>
      <c r="L108" s="48"/>
      <c r="M108" s="60"/>
      <c r="N108" s="60"/>
      <c r="O108" s="48"/>
      <c r="P108" s="48"/>
      <c r="Q108" s="48"/>
    </row>
    <row r="109">
      <c r="A109" s="392"/>
      <c r="B109" s="389"/>
      <c r="C109" s="370"/>
      <c r="D109" s="388"/>
      <c r="E109" s="384"/>
      <c r="F109" s="60"/>
      <c r="G109" s="48"/>
      <c r="H109" s="60"/>
      <c r="I109" s="60"/>
      <c r="J109" s="60"/>
      <c r="K109" s="60"/>
      <c r="L109" s="48"/>
      <c r="M109" s="60"/>
      <c r="N109" s="60"/>
      <c r="O109" s="48"/>
      <c r="P109" s="48"/>
      <c r="Q109" s="48"/>
    </row>
    <row r="110">
      <c r="A110" s="392"/>
      <c r="B110" s="389"/>
      <c r="C110" s="370"/>
      <c r="D110" s="388"/>
      <c r="E110" s="383"/>
      <c r="F110" s="60"/>
      <c r="G110" s="48"/>
      <c r="H110" s="60"/>
      <c r="I110" s="60"/>
      <c r="J110" s="60"/>
      <c r="K110" s="60"/>
      <c r="L110" s="48"/>
      <c r="M110" s="60"/>
      <c r="N110" s="60"/>
      <c r="O110" s="48"/>
      <c r="P110" s="48"/>
      <c r="Q110" s="48"/>
    </row>
    <row r="111">
      <c r="A111" s="392"/>
      <c r="B111" s="389"/>
      <c r="C111" s="370"/>
      <c r="D111" s="388"/>
      <c r="E111" s="384"/>
      <c r="F111" s="60"/>
      <c r="G111" s="48"/>
      <c r="H111" s="60"/>
      <c r="I111" s="60"/>
      <c r="J111" s="60"/>
      <c r="K111" s="60"/>
      <c r="L111" s="48"/>
      <c r="M111" s="60"/>
      <c r="N111" s="60"/>
      <c r="O111" s="48"/>
      <c r="P111" s="48"/>
      <c r="Q111" s="48"/>
    </row>
    <row r="112">
      <c r="A112" s="367"/>
      <c r="B112" s="389"/>
      <c r="C112" s="370"/>
      <c r="D112" s="388"/>
      <c r="E112" s="370"/>
      <c r="F112" s="60"/>
      <c r="G112" s="48"/>
      <c r="H112" s="60"/>
      <c r="I112" s="60"/>
      <c r="J112" s="60"/>
      <c r="K112" s="60"/>
      <c r="L112" s="48"/>
      <c r="M112" s="60"/>
      <c r="N112" s="60"/>
      <c r="O112" s="48"/>
      <c r="P112" s="48"/>
      <c r="Q112" s="48"/>
    </row>
    <row r="113">
      <c r="A113" s="367"/>
      <c r="B113" s="389"/>
      <c r="C113" s="370"/>
      <c r="D113" s="388"/>
      <c r="E113" s="370"/>
      <c r="F113" s="60"/>
      <c r="G113" s="48"/>
      <c r="H113" s="60"/>
      <c r="I113" s="60"/>
      <c r="J113" s="60"/>
      <c r="K113" s="60"/>
      <c r="L113" s="48"/>
      <c r="M113" s="60"/>
      <c r="N113" s="60"/>
      <c r="O113" s="48"/>
      <c r="P113" s="48"/>
      <c r="Q113" s="48"/>
    </row>
    <row r="114">
      <c r="A114" s="392"/>
      <c r="B114" s="389"/>
      <c r="C114" s="370"/>
      <c r="D114" s="388"/>
      <c r="E114" s="384"/>
      <c r="F114" s="60"/>
      <c r="G114" s="48"/>
      <c r="H114" s="60"/>
      <c r="I114" s="60"/>
      <c r="J114" s="60"/>
      <c r="K114" s="60"/>
      <c r="L114" s="48"/>
      <c r="M114" s="60"/>
      <c r="N114" s="60"/>
      <c r="O114" s="48"/>
      <c r="P114" s="48"/>
      <c r="Q114" s="48"/>
    </row>
    <row r="115">
      <c r="A115" s="392"/>
      <c r="B115" s="389"/>
      <c r="C115" s="370"/>
      <c r="D115" s="388"/>
      <c r="E115" s="383"/>
      <c r="F115" s="60"/>
      <c r="G115" s="48"/>
      <c r="H115" s="60"/>
      <c r="I115" s="60"/>
      <c r="J115" s="60"/>
      <c r="K115" s="60"/>
      <c r="L115" s="48"/>
      <c r="M115" s="60"/>
      <c r="N115" s="60"/>
      <c r="O115" s="48"/>
      <c r="P115" s="48"/>
      <c r="Q115" s="48"/>
    </row>
    <row r="116">
      <c r="A116" s="392"/>
      <c r="B116" s="389"/>
      <c r="C116" s="370"/>
      <c r="D116" s="388"/>
      <c r="E116" s="370"/>
      <c r="F116" s="60"/>
      <c r="G116" s="48"/>
      <c r="H116" s="60"/>
      <c r="I116" s="60"/>
      <c r="J116" s="60"/>
      <c r="K116" s="60"/>
      <c r="L116" s="48"/>
      <c r="M116" s="60"/>
      <c r="N116" s="60"/>
      <c r="O116" s="48"/>
      <c r="P116" s="48"/>
      <c r="Q116" s="48"/>
    </row>
    <row r="117">
      <c r="A117" s="367"/>
      <c r="B117" s="389"/>
      <c r="C117" s="370"/>
      <c r="D117" s="388"/>
      <c r="E117" s="370"/>
      <c r="F117" s="60"/>
      <c r="G117" s="48"/>
      <c r="H117" s="60"/>
      <c r="I117" s="60"/>
      <c r="J117" s="60"/>
      <c r="K117" s="60"/>
      <c r="L117" s="48"/>
      <c r="M117" s="60"/>
      <c r="N117" s="60"/>
      <c r="O117" s="48"/>
      <c r="P117" s="48"/>
      <c r="Q117" s="48"/>
    </row>
    <row r="118">
      <c r="A118" s="367"/>
      <c r="B118" s="389"/>
      <c r="C118" s="370"/>
      <c r="D118" s="388"/>
      <c r="E118" s="370"/>
      <c r="F118" s="60"/>
      <c r="G118" s="48"/>
      <c r="H118" s="60"/>
      <c r="I118" s="60"/>
      <c r="J118" s="60"/>
      <c r="K118" s="60"/>
      <c r="L118" s="48"/>
      <c r="M118" s="60"/>
      <c r="N118" s="60"/>
      <c r="O118" s="48"/>
      <c r="P118" s="48"/>
      <c r="Q118" s="48"/>
    </row>
    <row r="119">
      <c r="A119" s="367"/>
      <c r="B119" s="389"/>
      <c r="C119" s="370"/>
      <c r="D119" s="393"/>
      <c r="E119" s="370"/>
      <c r="F119" s="60"/>
      <c r="G119" s="48"/>
      <c r="H119" s="60"/>
      <c r="I119" s="60"/>
      <c r="J119" s="60"/>
      <c r="K119" s="60"/>
      <c r="L119" s="48"/>
      <c r="M119" s="60"/>
      <c r="N119" s="60"/>
      <c r="O119" s="48"/>
      <c r="P119" s="48"/>
      <c r="Q119" s="48"/>
    </row>
    <row r="120">
      <c r="A120" s="367"/>
      <c r="B120" s="389"/>
      <c r="C120" s="370"/>
      <c r="D120" s="388"/>
      <c r="E120" s="384"/>
      <c r="F120" s="60"/>
      <c r="G120" s="48"/>
      <c r="H120" s="60"/>
      <c r="I120" s="60"/>
      <c r="J120" s="60"/>
      <c r="K120" s="60"/>
      <c r="L120" s="48"/>
      <c r="M120" s="60"/>
      <c r="N120" s="60"/>
      <c r="O120" s="48"/>
      <c r="P120" s="48"/>
      <c r="Q120" s="48"/>
    </row>
    <row r="121">
      <c r="A121" s="367"/>
      <c r="B121" s="389"/>
      <c r="C121" s="370"/>
      <c r="D121" s="388"/>
      <c r="E121" s="370"/>
      <c r="F121" s="60"/>
      <c r="G121" s="48"/>
      <c r="H121" s="60"/>
      <c r="I121" s="60"/>
      <c r="J121" s="60"/>
      <c r="K121" s="60"/>
      <c r="L121" s="48"/>
      <c r="M121" s="60"/>
      <c r="N121" s="60"/>
      <c r="O121" s="48"/>
      <c r="P121" s="48"/>
      <c r="Q121" s="48"/>
    </row>
    <row r="122">
      <c r="A122" s="367"/>
      <c r="B122" s="389"/>
      <c r="C122" s="370"/>
      <c r="D122" s="388"/>
      <c r="E122" s="384"/>
      <c r="F122" s="60"/>
      <c r="G122" s="48"/>
      <c r="H122" s="60"/>
      <c r="I122" s="60"/>
      <c r="J122" s="60"/>
      <c r="K122" s="60"/>
      <c r="L122" s="48"/>
      <c r="M122" s="60"/>
      <c r="N122" s="60"/>
      <c r="O122" s="48"/>
      <c r="P122" s="48"/>
      <c r="Q122" s="48"/>
    </row>
    <row r="123">
      <c r="A123" s="367"/>
      <c r="B123" s="389"/>
      <c r="C123" s="370"/>
      <c r="D123" s="388"/>
      <c r="E123" s="370"/>
      <c r="F123" s="60"/>
      <c r="G123" s="48"/>
      <c r="H123" s="60"/>
      <c r="I123" s="60"/>
      <c r="J123" s="60"/>
      <c r="K123" s="60"/>
      <c r="L123" s="48"/>
      <c r="M123" s="60"/>
      <c r="N123" s="60"/>
      <c r="O123" s="48"/>
      <c r="P123" s="48"/>
      <c r="Q123" s="48"/>
    </row>
    <row r="124">
      <c r="A124" s="367"/>
      <c r="B124" s="389"/>
      <c r="C124" s="370"/>
      <c r="D124" s="388"/>
      <c r="E124" s="370"/>
      <c r="F124" s="60"/>
      <c r="G124" s="48"/>
      <c r="H124" s="60"/>
      <c r="I124" s="60"/>
      <c r="J124" s="60"/>
      <c r="K124" s="60"/>
      <c r="L124" s="48"/>
      <c r="M124" s="60"/>
      <c r="N124" s="60"/>
      <c r="O124" s="48"/>
      <c r="P124" s="48"/>
      <c r="Q124" s="48"/>
    </row>
    <row r="125">
      <c r="A125" s="392"/>
      <c r="B125" s="389"/>
      <c r="C125" s="370"/>
      <c r="D125" s="388"/>
      <c r="E125" s="383"/>
      <c r="F125" s="60"/>
      <c r="G125" s="48"/>
      <c r="H125" s="60"/>
      <c r="I125" s="60"/>
      <c r="J125" s="60"/>
      <c r="K125" s="60"/>
      <c r="L125" s="48"/>
      <c r="M125" s="60"/>
      <c r="N125" s="60"/>
      <c r="O125" s="48"/>
      <c r="P125" s="48"/>
      <c r="Q125" s="48"/>
    </row>
    <row r="126">
      <c r="A126" s="392"/>
      <c r="B126" s="389"/>
      <c r="C126" s="370"/>
      <c r="D126" s="388"/>
      <c r="E126" s="370"/>
      <c r="F126" s="60"/>
      <c r="G126" s="48"/>
      <c r="H126" s="60"/>
      <c r="I126" s="60"/>
      <c r="J126" s="60"/>
      <c r="K126" s="60"/>
      <c r="L126" s="48"/>
      <c r="M126" s="60"/>
      <c r="N126" s="60"/>
      <c r="O126" s="48"/>
      <c r="P126" s="48"/>
      <c r="Q126" s="48"/>
    </row>
    <row r="127">
      <c r="A127" s="367"/>
      <c r="B127" s="389"/>
      <c r="C127" s="370"/>
      <c r="D127" s="388"/>
      <c r="E127" s="370"/>
      <c r="F127" s="60"/>
      <c r="G127" s="48"/>
      <c r="H127" s="60"/>
      <c r="I127" s="60"/>
      <c r="J127" s="60"/>
      <c r="K127" s="60"/>
      <c r="L127" s="48"/>
      <c r="M127" s="60"/>
      <c r="N127" s="60"/>
      <c r="O127" s="48"/>
      <c r="P127" s="48"/>
      <c r="Q127" s="48"/>
    </row>
    <row r="128">
      <c r="A128" s="392"/>
      <c r="B128" s="389"/>
      <c r="C128" s="370"/>
      <c r="D128" s="388"/>
      <c r="E128" s="384"/>
      <c r="F128" s="60"/>
      <c r="G128" s="48"/>
      <c r="H128" s="60"/>
      <c r="I128" s="60"/>
      <c r="J128" s="60"/>
      <c r="K128" s="60"/>
      <c r="L128" s="48"/>
      <c r="M128" s="60"/>
      <c r="N128" s="60"/>
      <c r="O128" s="48"/>
      <c r="P128" s="48"/>
      <c r="Q128" s="48"/>
    </row>
    <row r="129">
      <c r="A129" s="392"/>
      <c r="B129" s="389"/>
      <c r="C129" s="370"/>
      <c r="D129" s="388"/>
      <c r="E129" s="383"/>
      <c r="F129" s="60"/>
      <c r="G129" s="48"/>
      <c r="H129" s="60"/>
      <c r="I129" s="60"/>
      <c r="J129" s="60"/>
      <c r="K129" s="60"/>
      <c r="L129" s="48"/>
      <c r="M129" s="60"/>
      <c r="N129" s="60"/>
      <c r="O129" s="48"/>
      <c r="P129" s="48"/>
      <c r="Q129" s="48"/>
    </row>
    <row r="130">
      <c r="A130" s="392"/>
      <c r="B130" s="389"/>
      <c r="C130" s="370"/>
      <c r="D130" s="388"/>
      <c r="E130" s="370"/>
      <c r="F130" s="60"/>
      <c r="G130" s="48"/>
      <c r="H130" s="60"/>
      <c r="I130" s="60"/>
      <c r="J130" s="60"/>
      <c r="K130" s="60"/>
      <c r="L130" s="48"/>
      <c r="M130" s="60"/>
      <c r="N130" s="60"/>
      <c r="O130" s="48"/>
      <c r="P130" s="48"/>
      <c r="Q130" s="48"/>
    </row>
    <row r="131">
      <c r="A131" s="360"/>
      <c r="B131" s="360"/>
      <c r="C131" s="361"/>
      <c r="D131" s="360"/>
      <c r="E131" s="362"/>
      <c r="F131" s="60"/>
      <c r="G131" s="48"/>
      <c r="H131" s="60"/>
      <c r="I131" s="60"/>
      <c r="J131" s="60"/>
      <c r="K131" s="60"/>
      <c r="L131" s="48"/>
      <c r="M131" s="60"/>
      <c r="N131" s="60"/>
      <c r="O131" s="48"/>
      <c r="P131" s="48"/>
      <c r="Q131" s="48"/>
    </row>
    <row r="132">
      <c r="A132" s="367"/>
      <c r="B132" s="389"/>
      <c r="C132" s="370"/>
      <c r="D132" s="388"/>
      <c r="E132" s="370"/>
      <c r="F132" s="60"/>
      <c r="G132" s="48"/>
      <c r="H132" s="60"/>
      <c r="I132" s="60"/>
      <c r="J132" s="60"/>
      <c r="K132" s="60"/>
      <c r="L132" s="48"/>
      <c r="M132" s="60"/>
      <c r="N132" s="60"/>
      <c r="O132" s="48"/>
      <c r="P132" s="48"/>
      <c r="Q132" s="48"/>
    </row>
    <row r="133">
      <c r="A133" s="367"/>
      <c r="B133" s="389"/>
      <c r="C133" s="370"/>
      <c r="D133" s="393"/>
      <c r="E133" s="370"/>
      <c r="F133" s="60"/>
      <c r="G133" s="48"/>
      <c r="H133" s="60"/>
      <c r="I133" s="60"/>
      <c r="J133" s="60"/>
      <c r="K133" s="60"/>
      <c r="L133" s="48"/>
      <c r="M133" s="60"/>
      <c r="N133" s="60"/>
      <c r="O133" s="48"/>
      <c r="P133" s="48"/>
      <c r="Q133" s="48"/>
    </row>
    <row r="134">
      <c r="A134" s="367"/>
      <c r="B134" s="389"/>
      <c r="C134" s="370"/>
      <c r="D134" s="388"/>
      <c r="E134" s="370"/>
      <c r="F134" s="60"/>
      <c r="G134" s="48"/>
      <c r="H134" s="60"/>
      <c r="I134" s="60"/>
      <c r="J134" s="60"/>
      <c r="K134" s="60"/>
      <c r="L134" s="48"/>
      <c r="M134" s="60"/>
      <c r="N134" s="60"/>
      <c r="O134" s="48"/>
      <c r="P134" s="48"/>
      <c r="Q134" s="48"/>
    </row>
    <row r="135">
      <c r="A135" s="367"/>
      <c r="B135" s="389"/>
      <c r="C135" s="370"/>
      <c r="D135" s="388"/>
      <c r="E135" s="370"/>
      <c r="F135" s="60"/>
      <c r="G135" s="48"/>
      <c r="H135" s="60"/>
      <c r="I135" s="60"/>
      <c r="J135" s="60"/>
      <c r="K135" s="60"/>
      <c r="L135" s="48"/>
      <c r="M135" s="60"/>
      <c r="N135" s="60"/>
      <c r="O135" s="48"/>
      <c r="P135" s="48"/>
      <c r="Q135" s="48"/>
    </row>
    <row r="136">
      <c r="A136" s="367"/>
      <c r="B136" s="389"/>
      <c r="C136" s="370"/>
      <c r="D136" s="388"/>
      <c r="E136" s="370"/>
      <c r="F136" s="60"/>
      <c r="G136" s="48"/>
      <c r="H136" s="60"/>
      <c r="I136" s="60"/>
      <c r="J136" s="60"/>
      <c r="K136" s="60"/>
      <c r="L136" s="48"/>
      <c r="M136" s="60"/>
      <c r="N136" s="60"/>
      <c r="O136" s="48"/>
      <c r="P136" s="48"/>
      <c r="Q136" s="48"/>
    </row>
    <row r="137">
      <c r="A137" s="367"/>
      <c r="B137" s="389"/>
      <c r="C137" s="370"/>
      <c r="D137" s="388"/>
      <c r="E137" s="370"/>
      <c r="F137" s="60"/>
      <c r="G137" s="48"/>
      <c r="H137" s="60"/>
      <c r="I137" s="60"/>
      <c r="J137" s="60"/>
      <c r="K137" s="60"/>
      <c r="L137" s="48"/>
      <c r="M137" s="60"/>
      <c r="N137" s="60"/>
      <c r="O137" s="48"/>
      <c r="P137" s="48"/>
      <c r="Q137" s="48"/>
    </row>
    <row r="138">
      <c r="A138" s="392"/>
      <c r="B138" s="389"/>
      <c r="C138" s="370"/>
      <c r="D138" s="388"/>
      <c r="E138" s="370"/>
      <c r="F138" s="60"/>
      <c r="G138" s="48"/>
      <c r="H138" s="60"/>
      <c r="I138" s="60"/>
      <c r="J138" s="60"/>
      <c r="K138" s="60"/>
      <c r="L138" s="48"/>
      <c r="M138" s="60"/>
      <c r="N138" s="60"/>
      <c r="O138" s="48"/>
      <c r="P138" s="48"/>
      <c r="Q138" s="48"/>
    </row>
    <row r="139">
      <c r="A139" s="392"/>
      <c r="B139" s="389"/>
      <c r="C139" s="370"/>
      <c r="D139" s="388"/>
      <c r="E139" s="384"/>
      <c r="F139" s="60"/>
      <c r="G139" s="48"/>
      <c r="H139" s="60"/>
      <c r="I139" s="60"/>
      <c r="J139" s="60"/>
      <c r="K139" s="60"/>
      <c r="L139" s="48"/>
      <c r="M139" s="60"/>
      <c r="N139" s="60"/>
      <c r="O139" s="48"/>
      <c r="P139" s="48"/>
      <c r="Q139" s="48"/>
    </row>
    <row r="140">
      <c r="A140" s="367"/>
      <c r="B140" s="389"/>
      <c r="C140" s="370"/>
      <c r="D140" s="388"/>
      <c r="E140" s="383"/>
      <c r="F140" s="60"/>
      <c r="G140" s="48"/>
      <c r="H140" s="60"/>
      <c r="I140" s="60"/>
      <c r="J140" s="60"/>
      <c r="K140" s="60"/>
      <c r="L140" s="48"/>
      <c r="M140" s="60"/>
      <c r="N140" s="60"/>
      <c r="O140" s="48"/>
      <c r="P140" s="48"/>
      <c r="Q140" s="48"/>
    </row>
    <row r="141">
      <c r="A141" s="367"/>
      <c r="B141" s="389"/>
      <c r="C141" s="370"/>
      <c r="D141" s="388"/>
      <c r="E141" s="370"/>
      <c r="F141" s="60"/>
      <c r="G141" s="48"/>
      <c r="H141" s="60"/>
      <c r="I141" s="60"/>
      <c r="J141" s="60"/>
      <c r="K141" s="60"/>
      <c r="L141" s="48"/>
      <c r="M141" s="60"/>
      <c r="N141" s="60"/>
      <c r="O141" s="48"/>
      <c r="P141" s="48"/>
      <c r="Q141" s="48"/>
    </row>
    <row r="142">
      <c r="A142" s="392"/>
      <c r="B142" s="389"/>
      <c r="C142" s="370"/>
      <c r="D142" s="388"/>
      <c r="E142" s="384"/>
      <c r="F142" s="60"/>
      <c r="G142" s="48"/>
      <c r="H142" s="60"/>
      <c r="I142" s="60"/>
      <c r="J142" s="60"/>
      <c r="K142" s="60"/>
      <c r="L142" s="48"/>
      <c r="M142" s="60"/>
      <c r="N142" s="60"/>
      <c r="O142" s="48"/>
      <c r="P142" s="48"/>
      <c r="Q142" s="48"/>
    </row>
    <row r="143">
      <c r="A143" s="367"/>
      <c r="B143" s="389"/>
      <c r="C143" s="370"/>
      <c r="D143" s="388"/>
      <c r="E143" s="384"/>
      <c r="F143" s="60"/>
      <c r="G143" s="48"/>
      <c r="H143" s="60"/>
      <c r="I143" s="60"/>
      <c r="J143" s="60"/>
      <c r="K143" s="60"/>
      <c r="L143" s="48"/>
      <c r="M143" s="60"/>
      <c r="N143" s="60"/>
      <c r="O143" s="48"/>
      <c r="P143" s="48"/>
      <c r="Q143" s="48"/>
    </row>
    <row r="144">
      <c r="A144" s="392"/>
      <c r="B144" s="389"/>
      <c r="C144" s="370"/>
      <c r="D144" s="393"/>
      <c r="E144" s="384"/>
      <c r="F144" s="60"/>
      <c r="G144" s="48"/>
      <c r="H144" s="60"/>
      <c r="I144" s="60"/>
      <c r="J144" s="60"/>
      <c r="K144" s="60"/>
      <c r="L144" s="48"/>
      <c r="M144" s="60"/>
      <c r="N144" s="60"/>
      <c r="O144" s="48"/>
      <c r="P144" s="48"/>
      <c r="Q144" s="48"/>
    </row>
    <row r="145">
      <c r="A145" s="392"/>
      <c r="B145" s="389"/>
      <c r="C145" s="370"/>
      <c r="D145" s="388"/>
      <c r="E145" s="384"/>
      <c r="F145" s="60"/>
      <c r="G145" s="48"/>
      <c r="H145" s="60"/>
      <c r="I145" s="60"/>
      <c r="J145" s="60"/>
      <c r="K145" s="60"/>
      <c r="L145" s="48"/>
      <c r="M145" s="60"/>
      <c r="N145" s="60"/>
      <c r="O145" s="48"/>
      <c r="P145" s="48"/>
      <c r="Q145" s="48"/>
    </row>
    <row r="146">
      <c r="A146" s="367"/>
      <c r="B146" s="389"/>
      <c r="C146" s="370"/>
      <c r="D146" s="388"/>
      <c r="E146" s="370"/>
      <c r="F146" s="60"/>
      <c r="G146" s="48"/>
      <c r="H146" s="60"/>
      <c r="I146" s="60"/>
      <c r="J146" s="60"/>
      <c r="K146" s="60"/>
      <c r="L146" s="48"/>
      <c r="M146" s="60"/>
      <c r="N146" s="60"/>
      <c r="O146" s="48"/>
      <c r="P146" s="48"/>
      <c r="Q146" s="48"/>
    </row>
    <row r="147">
      <c r="A147" s="392"/>
      <c r="B147" s="389"/>
      <c r="C147" s="370"/>
      <c r="D147" s="388"/>
      <c r="E147" s="370"/>
      <c r="F147" s="60"/>
      <c r="G147" s="48"/>
      <c r="H147" s="60"/>
      <c r="I147" s="60"/>
      <c r="J147" s="60"/>
      <c r="K147" s="60"/>
      <c r="L147" s="48"/>
      <c r="M147" s="60"/>
      <c r="N147" s="60"/>
      <c r="O147" s="48"/>
      <c r="P147" s="48"/>
      <c r="Q147" s="48"/>
    </row>
    <row r="148">
      <c r="A148" s="392"/>
      <c r="B148" s="389"/>
      <c r="C148" s="370"/>
      <c r="D148" s="388"/>
      <c r="E148" s="384"/>
      <c r="F148" s="60"/>
      <c r="G148" s="48"/>
      <c r="H148" s="60"/>
      <c r="I148" s="60"/>
      <c r="J148" s="60"/>
      <c r="K148" s="60"/>
      <c r="L148" s="48"/>
      <c r="M148" s="60"/>
      <c r="N148" s="60"/>
      <c r="O148" s="48"/>
      <c r="P148" s="48"/>
      <c r="Q148" s="48"/>
    </row>
    <row r="149">
      <c r="A149" s="367"/>
      <c r="B149" s="389"/>
      <c r="C149" s="370"/>
      <c r="D149" s="388"/>
      <c r="E149" s="383"/>
      <c r="F149" s="60"/>
      <c r="G149" s="48"/>
      <c r="H149" s="60"/>
      <c r="I149" s="60"/>
      <c r="J149" s="60"/>
      <c r="K149" s="60"/>
      <c r="L149" s="48"/>
      <c r="M149" s="60"/>
      <c r="N149" s="60"/>
      <c r="O149" s="48"/>
      <c r="P149" s="48"/>
      <c r="Q149" s="48"/>
    </row>
    <row r="150">
      <c r="A150" s="392"/>
      <c r="B150" s="389"/>
      <c r="C150" s="370"/>
      <c r="D150" s="388"/>
      <c r="E150" s="384"/>
      <c r="F150" s="60"/>
      <c r="G150" s="48"/>
      <c r="H150" s="60"/>
      <c r="I150" s="60"/>
      <c r="J150" s="60"/>
      <c r="K150" s="60"/>
      <c r="L150" s="48"/>
      <c r="M150" s="60"/>
      <c r="N150" s="60"/>
      <c r="O150" s="48"/>
      <c r="P150" s="48"/>
      <c r="Q150" s="48"/>
    </row>
    <row r="151">
      <c r="A151" s="392"/>
      <c r="B151" s="389"/>
      <c r="C151" s="370"/>
      <c r="D151" s="388"/>
      <c r="E151" s="383"/>
      <c r="F151" s="60"/>
      <c r="G151" s="48"/>
      <c r="H151" s="60"/>
      <c r="I151" s="60"/>
      <c r="J151" s="60"/>
      <c r="K151" s="60"/>
      <c r="L151" s="48"/>
      <c r="M151" s="60"/>
      <c r="N151" s="60"/>
      <c r="O151" s="48"/>
      <c r="P151" s="48"/>
      <c r="Q151" s="48"/>
    </row>
    <row r="152">
      <c r="A152" s="392"/>
      <c r="B152" s="389"/>
      <c r="C152" s="370"/>
      <c r="D152" s="388"/>
      <c r="E152" s="384"/>
      <c r="F152" s="60"/>
      <c r="G152" s="48"/>
      <c r="H152" s="60"/>
      <c r="I152" s="60"/>
      <c r="J152" s="60"/>
      <c r="K152" s="60"/>
      <c r="L152" s="48"/>
      <c r="M152" s="60"/>
      <c r="N152" s="60"/>
      <c r="O152" s="48"/>
      <c r="P152" s="48"/>
      <c r="Q152" s="48"/>
    </row>
    <row r="153">
      <c r="A153" s="367"/>
      <c r="B153" s="389"/>
      <c r="C153" s="370"/>
      <c r="D153" s="388"/>
      <c r="E153" s="370"/>
      <c r="F153" s="60"/>
      <c r="G153" s="48"/>
      <c r="H153" s="60"/>
      <c r="I153" s="60"/>
      <c r="J153" s="60"/>
      <c r="K153" s="60"/>
      <c r="L153" s="48"/>
      <c r="M153" s="60"/>
      <c r="N153" s="60"/>
      <c r="O153" s="48"/>
      <c r="P153" s="48"/>
      <c r="Q153" s="48"/>
    </row>
    <row r="154">
      <c r="A154" s="367"/>
      <c r="B154" s="389"/>
      <c r="C154" s="370"/>
      <c r="D154" s="388"/>
      <c r="E154" s="370"/>
      <c r="F154" s="60"/>
      <c r="G154" s="48"/>
      <c r="H154" s="60"/>
      <c r="I154" s="60"/>
      <c r="J154" s="60"/>
      <c r="K154" s="60"/>
      <c r="L154" s="48"/>
      <c r="M154" s="60"/>
      <c r="N154" s="60"/>
      <c r="O154" s="48"/>
      <c r="P154" s="48"/>
      <c r="Q154" s="48"/>
    </row>
    <row r="155">
      <c r="A155" s="392"/>
      <c r="B155" s="389"/>
      <c r="C155" s="370"/>
      <c r="D155" s="388"/>
      <c r="E155" s="384"/>
      <c r="F155" s="60"/>
      <c r="G155" s="48"/>
      <c r="H155" s="60"/>
      <c r="I155" s="60"/>
      <c r="J155" s="60"/>
      <c r="K155" s="60"/>
      <c r="L155" s="48"/>
      <c r="M155" s="60"/>
      <c r="N155" s="60"/>
      <c r="O155" s="48"/>
      <c r="P155" s="48"/>
      <c r="Q155" s="48"/>
    </row>
    <row r="156">
      <c r="A156" s="392"/>
      <c r="B156" s="389"/>
      <c r="C156" s="370"/>
      <c r="D156" s="388"/>
      <c r="E156" s="383"/>
      <c r="F156" s="60"/>
      <c r="G156" s="48"/>
      <c r="H156" s="60"/>
      <c r="I156" s="60"/>
      <c r="J156" s="60"/>
      <c r="K156" s="60"/>
      <c r="L156" s="48"/>
      <c r="M156" s="60"/>
      <c r="N156" s="60"/>
      <c r="O156" s="48"/>
      <c r="P156" s="48"/>
      <c r="Q156" s="48"/>
    </row>
    <row r="157">
      <c r="A157" s="392"/>
      <c r="B157" s="389"/>
      <c r="C157" s="370"/>
      <c r="D157" s="388"/>
      <c r="E157" s="370"/>
      <c r="F157" s="60"/>
      <c r="G157" s="48"/>
      <c r="H157" s="60"/>
      <c r="I157" s="60"/>
      <c r="J157" s="60"/>
      <c r="K157" s="60"/>
      <c r="L157" s="48"/>
      <c r="M157" s="60"/>
      <c r="N157" s="60"/>
      <c r="O157" s="48"/>
      <c r="P157" s="48"/>
      <c r="Q157" s="48"/>
    </row>
    <row r="158">
      <c r="A158" s="367"/>
      <c r="B158" s="389"/>
      <c r="C158" s="370"/>
      <c r="D158" s="388"/>
      <c r="E158" s="370"/>
      <c r="F158" s="60"/>
      <c r="G158" s="48"/>
      <c r="H158" s="60"/>
      <c r="I158" s="60"/>
      <c r="J158" s="60"/>
      <c r="K158" s="60"/>
      <c r="L158" s="48"/>
      <c r="M158" s="60"/>
      <c r="N158" s="60"/>
      <c r="O158" s="48"/>
      <c r="P158" s="48"/>
      <c r="Q158" s="48"/>
    </row>
    <row r="159">
      <c r="A159" s="367"/>
      <c r="B159" s="389"/>
      <c r="C159" s="370"/>
      <c r="D159" s="388"/>
      <c r="E159" s="370"/>
      <c r="F159" s="60"/>
      <c r="G159" s="48"/>
      <c r="H159" s="60"/>
      <c r="I159" s="60"/>
      <c r="J159" s="60"/>
      <c r="K159" s="60"/>
      <c r="L159" s="48"/>
      <c r="M159" s="60"/>
      <c r="N159" s="60"/>
      <c r="O159" s="48"/>
      <c r="P159" s="48"/>
      <c r="Q159" s="48"/>
    </row>
    <row r="160">
      <c r="A160" s="367"/>
      <c r="B160" s="389"/>
      <c r="C160" s="370"/>
      <c r="D160" s="393"/>
      <c r="E160" s="370"/>
      <c r="F160" s="60"/>
      <c r="G160" s="48"/>
      <c r="H160" s="60"/>
      <c r="I160" s="60"/>
      <c r="J160" s="60"/>
      <c r="K160" s="60"/>
      <c r="L160" s="48"/>
      <c r="M160" s="60"/>
      <c r="N160" s="60"/>
      <c r="O160" s="48"/>
      <c r="P160" s="48"/>
      <c r="Q160" s="48"/>
    </row>
    <row r="161">
      <c r="A161" s="367"/>
      <c r="B161" s="389"/>
      <c r="C161" s="370"/>
      <c r="D161" s="388"/>
      <c r="E161" s="384"/>
      <c r="F161" s="60"/>
      <c r="G161" s="48"/>
      <c r="H161" s="60"/>
      <c r="I161" s="60"/>
      <c r="J161" s="60"/>
      <c r="K161" s="60"/>
      <c r="L161" s="48"/>
      <c r="M161" s="60"/>
      <c r="N161" s="60"/>
      <c r="O161" s="48"/>
      <c r="P161" s="48"/>
      <c r="Q161" s="48"/>
    </row>
    <row r="162">
      <c r="A162" s="367"/>
      <c r="B162" s="389"/>
      <c r="C162" s="370"/>
      <c r="D162" s="388"/>
      <c r="E162" s="370"/>
      <c r="F162" s="60"/>
      <c r="G162" s="48"/>
      <c r="H162" s="60"/>
      <c r="I162" s="60"/>
      <c r="J162" s="60"/>
      <c r="K162" s="60"/>
      <c r="L162" s="48"/>
      <c r="M162" s="60"/>
      <c r="N162" s="60"/>
      <c r="O162" s="48"/>
      <c r="P162" s="48"/>
      <c r="Q162" s="48"/>
    </row>
    <row r="163">
      <c r="A163" s="367"/>
      <c r="B163" s="389"/>
      <c r="C163" s="370"/>
      <c r="D163" s="388"/>
      <c r="E163" s="384"/>
      <c r="F163" s="60"/>
      <c r="G163" s="48"/>
      <c r="H163" s="60"/>
      <c r="I163" s="60"/>
      <c r="J163" s="60"/>
      <c r="K163" s="60"/>
      <c r="L163" s="48"/>
      <c r="M163" s="60"/>
      <c r="N163" s="60"/>
      <c r="O163" s="48"/>
      <c r="P163" s="48"/>
      <c r="Q163" s="48"/>
    </row>
    <row r="164">
      <c r="A164" s="367"/>
      <c r="B164" s="389"/>
      <c r="C164" s="370"/>
      <c r="D164" s="388"/>
      <c r="E164" s="370"/>
      <c r="F164" s="60"/>
      <c r="G164" s="48"/>
      <c r="H164" s="60"/>
      <c r="I164" s="60"/>
      <c r="J164" s="60"/>
      <c r="K164" s="60"/>
      <c r="L164" s="48"/>
      <c r="M164" s="60"/>
      <c r="N164" s="60"/>
      <c r="O164" s="48"/>
      <c r="P164" s="48"/>
      <c r="Q164" s="48"/>
    </row>
    <row r="165">
      <c r="A165" s="367"/>
      <c r="B165" s="389"/>
      <c r="C165" s="370"/>
      <c r="D165" s="388"/>
      <c r="E165" s="370"/>
      <c r="F165" s="60"/>
      <c r="G165" s="48"/>
      <c r="H165" s="60"/>
      <c r="I165" s="60"/>
      <c r="J165" s="60"/>
      <c r="K165" s="60"/>
      <c r="L165" s="48"/>
      <c r="M165" s="60"/>
      <c r="N165" s="60"/>
      <c r="O165" s="48"/>
      <c r="P165" s="48"/>
      <c r="Q165" s="48"/>
    </row>
    <row r="166">
      <c r="A166" s="392"/>
      <c r="B166" s="389"/>
      <c r="C166" s="370"/>
      <c r="D166" s="388"/>
      <c r="E166" s="383"/>
      <c r="F166" s="60"/>
      <c r="G166" s="48"/>
      <c r="H166" s="60"/>
      <c r="I166" s="60"/>
      <c r="J166" s="60"/>
      <c r="K166" s="60"/>
      <c r="L166" s="48"/>
      <c r="M166" s="60"/>
      <c r="N166" s="60"/>
      <c r="O166" s="48"/>
      <c r="P166" s="48"/>
      <c r="Q166" s="48"/>
    </row>
    <row r="167">
      <c r="A167" s="392"/>
      <c r="B167" s="389"/>
      <c r="C167" s="370"/>
      <c r="D167" s="388"/>
      <c r="E167" s="370"/>
      <c r="F167" s="60"/>
      <c r="G167" s="48"/>
      <c r="H167" s="60"/>
      <c r="I167" s="60"/>
      <c r="J167" s="60"/>
      <c r="K167" s="60"/>
      <c r="L167" s="48"/>
      <c r="M167" s="60"/>
      <c r="N167" s="60"/>
      <c r="O167" s="48"/>
      <c r="P167" s="48"/>
      <c r="Q167" s="48"/>
    </row>
    <row r="168">
      <c r="A168" s="367"/>
      <c r="B168" s="389"/>
      <c r="C168" s="370"/>
      <c r="D168" s="388"/>
      <c r="E168" s="370"/>
      <c r="F168" s="60"/>
      <c r="G168" s="48"/>
      <c r="H168" s="60"/>
      <c r="I168" s="60"/>
      <c r="J168" s="60"/>
      <c r="K168" s="60"/>
      <c r="L168" s="48"/>
      <c r="M168" s="60"/>
      <c r="N168" s="60"/>
      <c r="O168" s="48"/>
      <c r="P168" s="48"/>
      <c r="Q168" s="48"/>
    </row>
    <row r="169">
      <c r="A169" s="392"/>
      <c r="B169" s="389"/>
      <c r="C169" s="370"/>
      <c r="D169" s="388"/>
      <c r="E169" s="384"/>
      <c r="F169" s="60"/>
      <c r="G169" s="48"/>
      <c r="H169" s="60"/>
      <c r="I169" s="60"/>
      <c r="J169" s="60"/>
      <c r="K169" s="60"/>
      <c r="L169" s="48"/>
      <c r="M169" s="60"/>
      <c r="N169" s="60"/>
      <c r="O169" s="48"/>
      <c r="P169" s="48"/>
      <c r="Q169" s="48"/>
    </row>
    <row r="170">
      <c r="A170" s="392"/>
      <c r="B170" s="389"/>
      <c r="C170" s="370"/>
      <c r="D170" s="388"/>
      <c r="E170" s="383"/>
      <c r="F170" s="60"/>
      <c r="G170" s="48"/>
      <c r="H170" s="60"/>
      <c r="I170" s="60"/>
      <c r="J170" s="60"/>
      <c r="K170" s="60"/>
      <c r="L170" s="48"/>
      <c r="M170" s="60"/>
      <c r="N170" s="60"/>
      <c r="O170" s="48"/>
      <c r="P170" s="48"/>
      <c r="Q170" s="48"/>
    </row>
    <row r="171">
      <c r="A171" s="392"/>
      <c r="B171" s="389"/>
      <c r="C171" s="370"/>
      <c r="D171" s="388"/>
      <c r="E171" s="370"/>
      <c r="F171" s="60"/>
      <c r="G171" s="48"/>
      <c r="H171" s="60"/>
      <c r="I171" s="60"/>
      <c r="J171" s="60"/>
      <c r="K171" s="60"/>
      <c r="L171" s="48"/>
      <c r="M171" s="60"/>
      <c r="N171" s="60"/>
      <c r="O171" s="48"/>
      <c r="P171" s="48"/>
      <c r="Q171" s="48"/>
    </row>
    <row r="172">
      <c r="A172" s="360"/>
      <c r="B172" s="360"/>
      <c r="C172" s="361"/>
      <c r="D172" s="360"/>
      <c r="E172" s="362"/>
      <c r="F172" s="60"/>
      <c r="G172" s="48"/>
      <c r="H172" s="60"/>
      <c r="I172" s="60"/>
      <c r="J172" s="60"/>
      <c r="K172" s="60"/>
      <c r="L172" s="48"/>
      <c r="M172" s="60"/>
      <c r="N172" s="60"/>
      <c r="O172" s="48"/>
      <c r="P172" s="48"/>
      <c r="Q172" s="48"/>
    </row>
    <row r="173">
      <c r="A173" s="367"/>
      <c r="B173" s="389"/>
      <c r="C173" s="370"/>
      <c r="D173" s="388"/>
      <c r="E173" s="370"/>
      <c r="F173" s="60"/>
      <c r="G173" s="48"/>
      <c r="H173" s="60"/>
      <c r="I173" s="60"/>
      <c r="J173" s="60"/>
      <c r="K173" s="60"/>
      <c r="L173" s="48"/>
      <c r="M173" s="60"/>
      <c r="N173" s="60"/>
      <c r="O173" s="48"/>
      <c r="P173" s="48"/>
      <c r="Q173" s="48"/>
    </row>
    <row r="174">
      <c r="A174" s="367"/>
      <c r="B174" s="389"/>
      <c r="C174" s="370"/>
      <c r="D174" s="393"/>
      <c r="E174" s="370"/>
      <c r="F174" s="60"/>
      <c r="G174" s="48"/>
      <c r="H174" s="60"/>
      <c r="I174" s="60"/>
      <c r="J174" s="60"/>
      <c r="K174" s="60"/>
      <c r="L174" s="48"/>
      <c r="M174" s="60"/>
      <c r="N174" s="60"/>
      <c r="O174" s="48"/>
      <c r="P174" s="48"/>
      <c r="Q174" s="48"/>
    </row>
    <row r="175">
      <c r="A175" s="367"/>
      <c r="B175" s="389"/>
      <c r="C175" s="370"/>
      <c r="D175" s="388"/>
      <c r="E175" s="370"/>
      <c r="F175" s="60"/>
      <c r="G175" s="48"/>
      <c r="H175" s="60"/>
      <c r="I175" s="60"/>
      <c r="J175" s="60"/>
      <c r="K175" s="60"/>
      <c r="L175" s="48"/>
      <c r="M175" s="60"/>
      <c r="N175" s="60"/>
      <c r="O175" s="48"/>
      <c r="P175" s="48"/>
      <c r="Q175" s="48"/>
    </row>
    <row r="176">
      <c r="A176" s="367"/>
      <c r="B176" s="389"/>
      <c r="C176" s="370"/>
      <c r="D176" s="388"/>
      <c r="E176" s="370"/>
      <c r="F176" s="60"/>
      <c r="G176" s="48"/>
      <c r="H176" s="60"/>
      <c r="I176" s="60"/>
      <c r="J176" s="60"/>
      <c r="K176" s="60"/>
      <c r="L176" s="48"/>
      <c r="M176" s="60"/>
      <c r="N176" s="60"/>
      <c r="O176" s="48"/>
      <c r="P176" s="48"/>
      <c r="Q176" s="48"/>
    </row>
    <row r="177">
      <c r="A177" s="367"/>
      <c r="B177" s="389"/>
      <c r="C177" s="370"/>
      <c r="D177" s="388"/>
      <c r="E177" s="370"/>
      <c r="F177" s="60"/>
      <c r="G177" s="48"/>
      <c r="H177" s="60"/>
      <c r="I177" s="60"/>
      <c r="J177" s="60"/>
      <c r="K177" s="60"/>
      <c r="L177" s="48"/>
      <c r="M177" s="60"/>
      <c r="N177" s="60"/>
      <c r="O177" s="48"/>
      <c r="P177" s="48"/>
      <c r="Q177" s="48"/>
    </row>
    <row r="178">
      <c r="A178" s="367"/>
      <c r="B178" s="389"/>
      <c r="C178" s="370"/>
      <c r="D178" s="388"/>
      <c r="E178" s="370"/>
      <c r="F178" s="60"/>
      <c r="G178" s="48"/>
      <c r="H178" s="60"/>
      <c r="I178" s="60"/>
      <c r="J178" s="60"/>
      <c r="K178" s="60"/>
      <c r="L178" s="48"/>
      <c r="M178" s="60"/>
      <c r="N178" s="60"/>
      <c r="O178" s="48"/>
      <c r="P178" s="48"/>
      <c r="Q178" s="48"/>
    </row>
    <row r="179">
      <c r="A179" s="392"/>
      <c r="B179" s="389"/>
      <c r="C179" s="370"/>
      <c r="D179" s="388"/>
      <c r="E179" s="370"/>
      <c r="F179" s="60"/>
      <c r="G179" s="48"/>
      <c r="H179" s="60"/>
      <c r="I179" s="60"/>
      <c r="J179" s="60"/>
      <c r="K179" s="60"/>
      <c r="L179" s="48"/>
      <c r="M179" s="60"/>
      <c r="N179" s="60"/>
      <c r="O179" s="48"/>
      <c r="P179" s="48"/>
      <c r="Q179" s="48"/>
    </row>
    <row r="180">
      <c r="A180" s="392"/>
      <c r="B180" s="389"/>
      <c r="C180" s="370"/>
      <c r="D180" s="388"/>
      <c r="E180" s="384"/>
      <c r="F180" s="60"/>
      <c r="G180" s="48"/>
      <c r="H180" s="60"/>
      <c r="I180" s="60"/>
      <c r="J180" s="60"/>
      <c r="K180" s="60"/>
      <c r="L180" s="48"/>
      <c r="M180" s="60"/>
      <c r="N180" s="60"/>
      <c r="O180" s="48"/>
      <c r="P180" s="48"/>
      <c r="Q180" s="48"/>
    </row>
    <row r="181">
      <c r="A181" s="367"/>
      <c r="B181" s="389"/>
      <c r="C181" s="370"/>
      <c r="D181" s="388"/>
      <c r="E181" s="383"/>
      <c r="F181" s="60"/>
      <c r="G181" s="48"/>
      <c r="H181" s="60"/>
      <c r="I181" s="60"/>
      <c r="J181" s="60"/>
      <c r="K181" s="60"/>
      <c r="L181" s="48"/>
      <c r="M181" s="60"/>
      <c r="N181" s="60"/>
      <c r="O181" s="48"/>
      <c r="P181" s="48"/>
      <c r="Q181" s="48"/>
    </row>
    <row r="182">
      <c r="A182" s="367"/>
      <c r="B182" s="389"/>
      <c r="C182" s="370"/>
      <c r="D182" s="388"/>
      <c r="E182" s="370"/>
      <c r="F182" s="60"/>
      <c r="G182" s="48"/>
      <c r="H182" s="60"/>
      <c r="I182" s="60"/>
      <c r="J182" s="60"/>
      <c r="K182" s="60"/>
      <c r="L182" s="48"/>
      <c r="M182" s="60"/>
      <c r="N182" s="60"/>
      <c r="O182" s="48"/>
      <c r="P182" s="48"/>
      <c r="Q182" s="48"/>
    </row>
    <row r="183">
      <c r="A183" s="392"/>
      <c r="B183" s="389"/>
      <c r="C183" s="370"/>
      <c r="D183" s="388"/>
      <c r="E183" s="384"/>
      <c r="F183" s="60"/>
      <c r="G183" s="48"/>
      <c r="H183" s="60"/>
      <c r="I183" s="60"/>
      <c r="J183" s="60"/>
      <c r="K183" s="60"/>
      <c r="L183" s="48"/>
      <c r="M183" s="60"/>
      <c r="N183" s="60"/>
      <c r="O183" s="48"/>
      <c r="P183" s="48"/>
      <c r="Q183" s="48"/>
    </row>
    <row r="184">
      <c r="A184" s="367"/>
      <c r="B184" s="389"/>
      <c r="C184" s="370"/>
      <c r="D184" s="388"/>
      <c r="E184" s="384"/>
      <c r="F184" s="60"/>
      <c r="G184" s="48"/>
      <c r="H184" s="60"/>
      <c r="I184" s="60"/>
      <c r="J184" s="60"/>
      <c r="K184" s="60"/>
      <c r="L184" s="48"/>
      <c r="M184" s="60"/>
      <c r="N184" s="60"/>
      <c r="O184" s="48"/>
      <c r="P184" s="48"/>
      <c r="Q184" s="48"/>
    </row>
    <row r="185">
      <c r="A185" s="392"/>
      <c r="B185" s="389"/>
      <c r="C185" s="370"/>
      <c r="D185" s="393"/>
      <c r="E185" s="384"/>
      <c r="F185" s="60"/>
      <c r="G185" s="48"/>
      <c r="H185" s="60"/>
      <c r="I185" s="60"/>
      <c r="J185" s="60"/>
      <c r="K185" s="60"/>
      <c r="L185" s="48"/>
      <c r="M185" s="60"/>
      <c r="N185" s="60"/>
      <c r="O185" s="48"/>
      <c r="P185" s="48"/>
      <c r="Q185" s="48"/>
    </row>
    <row r="186">
      <c r="A186" s="392"/>
      <c r="B186" s="389"/>
      <c r="C186" s="370"/>
      <c r="D186" s="388"/>
      <c r="E186" s="384"/>
      <c r="F186" s="60"/>
      <c r="G186" s="48"/>
      <c r="H186" s="60"/>
      <c r="I186" s="60"/>
      <c r="J186" s="60"/>
      <c r="K186" s="60"/>
      <c r="L186" s="48"/>
      <c r="M186" s="60"/>
      <c r="N186" s="60"/>
      <c r="O186" s="48"/>
      <c r="P186" s="48"/>
      <c r="Q186" s="48"/>
    </row>
    <row r="187">
      <c r="A187" s="367"/>
      <c r="B187" s="389"/>
      <c r="C187" s="370"/>
      <c r="D187" s="388"/>
      <c r="E187" s="370"/>
      <c r="F187" s="60"/>
      <c r="G187" s="48"/>
      <c r="H187" s="60"/>
      <c r="I187" s="60"/>
      <c r="J187" s="60"/>
      <c r="K187" s="60"/>
      <c r="L187" s="48"/>
      <c r="M187" s="60"/>
      <c r="N187" s="60"/>
      <c r="O187" s="48"/>
      <c r="P187" s="48"/>
      <c r="Q187" s="48"/>
    </row>
    <row r="188">
      <c r="A188" s="392"/>
      <c r="B188" s="389"/>
      <c r="C188" s="370"/>
      <c r="D188" s="388"/>
      <c r="E188" s="370"/>
      <c r="F188" s="60"/>
      <c r="G188" s="48"/>
      <c r="H188" s="60"/>
      <c r="I188" s="60"/>
      <c r="J188" s="60"/>
      <c r="K188" s="60"/>
      <c r="L188" s="48"/>
      <c r="M188" s="60"/>
      <c r="N188" s="60"/>
      <c r="O188" s="48"/>
      <c r="P188" s="48"/>
      <c r="Q188" s="48"/>
    </row>
    <row r="189">
      <c r="A189" s="392"/>
      <c r="B189" s="389"/>
      <c r="C189" s="370"/>
      <c r="D189" s="388"/>
      <c r="E189" s="384"/>
      <c r="F189" s="60"/>
      <c r="G189" s="48"/>
      <c r="H189" s="60"/>
      <c r="I189" s="60"/>
      <c r="J189" s="60"/>
      <c r="K189" s="60"/>
      <c r="L189" s="48"/>
      <c r="M189" s="60"/>
      <c r="N189" s="60"/>
      <c r="O189" s="48"/>
      <c r="P189" s="48"/>
      <c r="Q189" s="48"/>
    </row>
    <row r="190">
      <c r="A190" s="367"/>
      <c r="B190" s="389"/>
      <c r="C190" s="370"/>
      <c r="D190" s="388"/>
      <c r="E190" s="383"/>
      <c r="F190" s="60"/>
      <c r="G190" s="48"/>
      <c r="H190" s="60"/>
      <c r="I190" s="60"/>
      <c r="J190" s="60"/>
      <c r="K190" s="60"/>
      <c r="L190" s="48"/>
      <c r="M190" s="60"/>
      <c r="N190" s="60"/>
      <c r="O190" s="48"/>
      <c r="P190" s="48"/>
      <c r="Q190" s="48"/>
    </row>
    <row r="191">
      <c r="A191" s="392"/>
      <c r="B191" s="389"/>
      <c r="C191" s="370"/>
      <c r="D191" s="388"/>
      <c r="E191" s="384"/>
      <c r="F191" s="60"/>
      <c r="G191" s="48"/>
      <c r="H191" s="60"/>
      <c r="I191" s="60"/>
      <c r="J191" s="60"/>
      <c r="K191" s="60"/>
      <c r="L191" s="48"/>
      <c r="M191" s="60"/>
      <c r="N191" s="60"/>
      <c r="O191" s="48"/>
      <c r="P191" s="48"/>
      <c r="Q191" s="48"/>
    </row>
    <row r="192">
      <c r="A192" s="392"/>
      <c r="B192" s="389"/>
      <c r="C192" s="370"/>
      <c r="D192" s="388"/>
      <c r="E192" s="383"/>
      <c r="F192" s="60"/>
      <c r="G192" s="48"/>
      <c r="H192" s="60"/>
      <c r="I192" s="60"/>
      <c r="J192" s="60"/>
      <c r="K192" s="60"/>
      <c r="L192" s="48"/>
      <c r="M192" s="60"/>
      <c r="N192" s="60"/>
      <c r="O192" s="48"/>
      <c r="P192" s="48"/>
      <c r="Q192" s="48"/>
    </row>
    <row r="193">
      <c r="A193" s="392"/>
      <c r="B193" s="389"/>
      <c r="C193" s="370"/>
      <c r="D193" s="388"/>
      <c r="E193" s="384"/>
      <c r="F193" s="60"/>
      <c r="G193" s="48"/>
      <c r="H193" s="60"/>
      <c r="I193" s="60"/>
      <c r="J193" s="60"/>
      <c r="K193" s="60"/>
      <c r="L193" s="48"/>
      <c r="M193" s="60"/>
      <c r="N193" s="60"/>
      <c r="O193" s="48"/>
      <c r="P193" s="48"/>
      <c r="Q193" s="48"/>
    </row>
    <row r="194">
      <c r="A194" s="367"/>
      <c r="B194" s="389"/>
      <c r="C194" s="370"/>
      <c r="D194" s="388"/>
      <c r="E194" s="370"/>
      <c r="F194" s="60"/>
      <c r="G194" s="48"/>
      <c r="H194" s="60"/>
      <c r="I194" s="60"/>
      <c r="J194" s="60"/>
      <c r="K194" s="60"/>
      <c r="L194" s="48"/>
      <c r="M194" s="60"/>
      <c r="N194" s="60"/>
      <c r="O194" s="48"/>
      <c r="P194" s="48"/>
      <c r="Q194" s="48"/>
    </row>
    <row r="195">
      <c r="A195" s="367"/>
      <c r="B195" s="389"/>
      <c r="C195" s="370"/>
      <c r="D195" s="388"/>
      <c r="E195" s="370"/>
      <c r="F195" s="60"/>
      <c r="G195" s="48"/>
      <c r="H195" s="60"/>
      <c r="I195" s="60"/>
      <c r="J195" s="60"/>
      <c r="K195" s="60"/>
      <c r="L195" s="48"/>
      <c r="M195" s="60"/>
      <c r="N195" s="60"/>
      <c r="O195" s="48"/>
      <c r="P195" s="48"/>
      <c r="Q195" s="48"/>
    </row>
    <row r="196">
      <c r="A196" s="392"/>
      <c r="B196" s="389"/>
      <c r="C196" s="370"/>
      <c r="D196" s="388"/>
      <c r="E196" s="384"/>
      <c r="F196" s="60"/>
      <c r="G196" s="48"/>
      <c r="H196" s="60"/>
      <c r="I196" s="60"/>
      <c r="J196" s="60"/>
      <c r="K196" s="60"/>
      <c r="L196" s="48"/>
      <c r="M196" s="60"/>
      <c r="N196" s="60"/>
      <c r="O196" s="48"/>
      <c r="P196" s="48"/>
      <c r="Q196" s="48"/>
    </row>
    <row r="197">
      <c r="A197" s="392"/>
      <c r="B197" s="389"/>
      <c r="C197" s="370"/>
      <c r="D197" s="388"/>
      <c r="E197" s="383"/>
      <c r="F197" s="60"/>
      <c r="G197" s="48"/>
      <c r="H197" s="60"/>
      <c r="I197" s="60"/>
      <c r="J197" s="60"/>
      <c r="K197" s="60"/>
      <c r="L197" s="48"/>
      <c r="M197" s="60"/>
      <c r="N197" s="60"/>
      <c r="O197" s="48"/>
      <c r="P197" s="48"/>
      <c r="Q197" s="48"/>
    </row>
    <row r="198">
      <c r="A198" s="392"/>
      <c r="B198" s="389"/>
      <c r="C198" s="370"/>
      <c r="D198" s="388"/>
      <c r="E198" s="370"/>
      <c r="F198" s="60"/>
      <c r="G198" s="48"/>
      <c r="H198" s="60"/>
      <c r="I198" s="60"/>
      <c r="J198" s="60"/>
      <c r="K198" s="60"/>
      <c r="L198" s="48"/>
      <c r="M198" s="60"/>
      <c r="N198" s="60"/>
      <c r="O198" s="48"/>
      <c r="P198" s="48"/>
      <c r="Q198" s="48"/>
    </row>
    <row r="199">
      <c r="A199" s="367"/>
      <c r="B199" s="389"/>
      <c r="C199" s="370"/>
      <c r="D199" s="388"/>
      <c r="E199" s="370"/>
      <c r="F199" s="60"/>
      <c r="G199" s="48"/>
      <c r="H199" s="60"/>
      <c r="I199" s="60"/>
      <c r="J199" s="60"/>
      <c r="K199" s="60"/>
      <c r="L199" s="48"/>
      <c r="M199" s="60"/>
      <c r="N199" s="60"/>
      <c r="O199" s="48"/>
      <c r="P199" s="48"/>
      <c r="Q199" s="48"/>
    </row>
    <row r="200">
      <c r="A200" s="367"/>
      <c r="B200" s="389"/>
      <c r="C200" s="370"/>
      <c r="D200" s="388"/>
      <c r="E200" s="370"/>
      <c r="F200" s="60"/>
      <c r="G200" s="48"/>
      <c r="H200" s="60"/>
      <c r="I200" s="60"/>
      <c r="J200" s="60"/>
      <c r="K200" s="60"/>
      <c r="L200" s="48"/>
      <c r="M200" s="60"/>
      <c r="N200" s="60"/>
      <c r="O200" s="48"/>
      <c r="P200" s="48"/>
      <c r="Q200" s="48"/>
    </row>
    <row r="201">
      <c r="A201" s="367"/>
      <c r="B201" s="389"/>
      <c r="C201" s="370"/>
      <c r="D201" s="393"/>
      <c r="E201" s="370"/>
      <c r="F201" s="60"/>
      <c r="G201" s="48"/>
      <c r="H201" s="60"/>
      <c r="I201" s="60"/>
      <c r="J201" s="60"/>
      <c r="K201" s="60"/>
      <c r="L201" s="48"/>
      <c r="M201" s="60"/>
      <c r="N201" s="60"/>
      <c r="O201" s="48"/>
      <c r="P201" s="48"/>
      <c r="Q201" s="48"/>
    </row>
    <row r="202">
      <c r="A202" s="367"/>
      <c r="B202" s="389"/>
      <c r="C202" s="370"/>
      <c r="D202" s="388"/>
      <c r="E202" s="384"/>
      <c r="F202" s="60"/>
      <c r="G202" s="48"/>
      <c r="H202" s="60"/>
      <c r="I202" s="60"/>
      <c r="J202" s="60"/>
      <c r="K202" s="60"/>
      <c r="L202" s="48"/>
      <c r="M202" s="60"/>
      <c r="N202" s="60"/>
      <c r="O202" s="48"/>
      <c r="P202" s="48"/>
      <c r="Q202" s="48"/>
    </row>
    <row r="203">
      <c r="A203" s="367"/>
      <c r="B203" s="389"/>
      <c r="C203" s="370"/>
      <c r="D203" s="388"/>
      <c r="E203" s="370"/>
      <c r="F203" s="60"/>
      <c r="G203" s="48"/>
      <c r="H203" s="60"/>
      <c r="I203" s="60"/>
      <c r="J203" s="60"/>
      <c r="K203" s="60"/>
      <c r="L203" s="48"/>
      <c r="M203" s="60"/>
      <c r="N203" s="60"/>
      <c r="O203" s="48"/>
      <c r="P203" s="48"/>
      <c r="Q203" s="48"/>
    </row>
    <row r="204">
      <c r="A204" s="367"/>
      <c r="B204" s="389"/>
      <c r="C204" s="370"/>
      <c r="D204" s="388"/>
      <c r="E204" s="384"/>
      <c r="F204" s="60"/>
      <c r="G204" s="48"/>
      <c r="H204" s="60"/>
      <c r="I204" s="60"/>
      <c r="J204" s="60"/>
      <c r="K204" s="60"/>
      <c r="L204" s="48"/>
      <c r="M204" s="60"/>
      <c r="N204" s="60"/>
      <c r="O204" s="48"/>
      <c r="P204" s="48"/>
      <c r="Q204" s="48"/>
    </row>
    <row r="205">
      <c r="A205" s="367"/>
      <c r="B205" s="389"/>
      <c r="C205" s="370"/>
      <c r="D205" s="388"/>
      <c r="E205" s="370"/>
      <c r="F205" s="60"/>
      <c r="G205" s="48"/>
      <c r="H205" s="60"/>
      <c r="I205" s="60"/>
      <c r="J205" s="60"/>
      <c r="K205" s="60"/>
      <c r="L205" s="48"/>
      <c r="M205" s="60"/>
      <c r="N205" s="60"/>
      <c r="O205" s="48"/>
      <c r="P205" s="48"/>
      <c r="Q205" s="48"/>
    </row>
    <row r="206">
      <c r="A206" s="367"/>
      <c r="B206" s="389"/>
      <c r="C206" s="370"/>
      <c r="D206" s="388"/>
      <c r="E206" s="370"/>
      <c r="F206" s="60"/>
      <c r="G206" s="48"/>
      <c r="H206" s="60"/>
      <c r="I206" s="60"/>
      <c r="J206" s="60"/>
      <c r="K206" s="60"/>
      <c r="L206" s="48"/>
      <c r="M206" s="60"/>
      <c r="N206" s="60"/>
      <c r="O206" s="48"/>
      <c r="P206" s="48"/>
      <c r="Q206" s="48"/>
    </row>
    <row r="207">
      <c r="A207" s="392"/>
      <c r="B207" s="389"/>
      <c r="C207" s="370"/>
      <c r="D207" s="388"/>
      <c r="E207" s="383"/>
      <c r="F207" s="60"/>
      <c r="G207" s="48"/>
      <c r="H207" s="60"/>
      <c r="I207" s="60"/>
      <c r="J207" s="60"/>
      <c r="K207" s="60"/>
      <c r="L207" s="48"/>
      <c r="M207" s="60"/>
      <c r="N207" s="60"/>
      <c r="O207" s="48"/>
      <c r="P207" s="48"/>
      <c r="Q207" s="48"/>
    </row>
    <row r="208">
      <c r="A208" s="392"/>
      <c r="B208" s="389"/>
      <c r="C208" s="370"/>
      <c r="D208" s="388"/>
      <c r="E208" s="370"/>
      <c r="F208" s="60"/>
      <c r="G208" s="48"/>
      <c r="H208" s="60"/>
      <c r="I208" s="60"/>
      <c r="J208" s="60"/>
      <c r="K208" s="60"/>
      <c r="L208" s="48"/>
      <c r="M208" s="60"/>
      <c r="N208" s="60"/>
      <c r="O208" s="48"/>
      <c r="P208" s="48"/>
      <c r="Q208" s="48"/>
    </row>
    <row r="209">
      <c r="A209" s="367"/>
      <c r="B209" s="389"/>
      <c r="C209" s="370"/>
      <c r="D209" s="388"/>
      <c r="E209" s="370"/>
      <c r="F209" s="60"/>
      <c r="G209" s="48"/>
      <c r="H209" s="60"/>
      <c r="I209" s="60"/>
      <c r="J209" s="60"/>
      <c r="K209" s="60"/>
      <c r="L209" s="48"/>
      <c r="M209" s="60"/>
      <c r="N209" s="60"/>
      <c r="O209" s="48"/>
      <c r="P209" s="48"/>
      <c r="Q209" s="48"/>
    </row>
    <row r="210">
      <c r="A210" s="392"/>
      <c r="B210" s="389"/>
      <c r="C210" s="370"/>
      <c r="D210" s="388"/>
      <c r="E210" s="384"/>
      <c r="F210" s="60"/>
      <c r="G210" s="48"/>
      <c r="H210" s="60"/>
      <c r="I210" s="60"/>
      <c r="J210" s="60"/>
      <c r="K210" s="60"/>
      <c r="L210" s="48"/>
      <c r="M210" s="60"/>
      <c r="N210" s="60"/>
      <c r="O210" s="48"/>
      <c r="P210" s="48"/>
      <c r="Q210" s="48"/>
    </row>
    <row r="211">
      <c r="A211" s="392"/>
      <c r="B211" s="389"/>
      <c r="C211" s="370"/>
      <c r="D211" s="388"/>
      <c r="E211" s="383"/>
      <c r="F211" s="60"/>
      <c r="G211" s="48"/>
      <c r="H211" s="60"/>
      <c r="I211" s="60"/>
      <c r="J211" s="60"/>
      <c r="K211" s="60"/>
      <c r="L211" s="48"/>
      <c r="M211" s="60"/>
      <c r="N211" s="60"/>
      <c r="O211" s="48"/>
      <c r="P211" s="48"/>
      <c r="Q211" s="48"/>
    </row>
    <row r="212">
      <c r="A212" s="392"/>
      <c r="B212" s="389"/>
      <c r="C212" s="370"/>
      <c r="D212" s="388"/>
      <c r="E212" s="370"/>
      <c r="F212" s="60"/>
      <c r="G212" s="48"/>
      <c r="H212" s="60"/>
      <c r="I212" s="60"/>
      <c r="J212" s="60"/>
      <c r="K212" s="60"/>
      <c r="L212" s="48"/>
      <c r="M212" s="60"/>
      <c r="N212" s="60"/>
      <c r="O212" s="48"/>
      <c r="P212" s="48"/>
      <c r="Q212" s="48"/>
    </row>
    <row r="213">
      <c r="A213" s="360"/>
      <c r="B213" s="360"/>
      <c r="C213" s="361"/>
      <c r="D213" s="360"/>
      <c r="E213" s="362"/>
      <c r="F213" s="60"/>
      <c r="G213" s="48"/>
      <c r="H213" s="60"/>
      <c r="I213" s="60"/>
      <c r="J213" s="60"/>
      <c r="K213" s="60"/>
      <c r="L213" s="48"/>
      <c r="M213" s="60"/>
      <c r="N213" s="60"/>
      <c r="O213" s="48"/>
      <c r="P213" s="48"/>
      <c r="Q213" s="48"/>
    </row>
    <row r="214">
      <c r="A214" s="367"/>
      <c r="B214" s="389"/>
      <c r="C214" s="370"/>
      <c r="D214" s="388"/>
      <c r="E214" s="370"/>
      <c r="F214" s="60"/>
      <c r="G214" s="48"/>
      <c r="H214" s="60"/>
      <c r="I214" s="60"/>
      <c r="J214" s="60"/>
      <c r="K214" s="60"/>
      <c r="L214" s="48"/>
      <c r="M214" s="60"/>
      <c r="N214" s="60"/>
      <c r="O214" s="48"/>
      <c r="P214" s="48"/>
      <c r="Q214" s="48"/>
    </row>
    <row r="215">
      <c r="A215" s="367"/>
      <c r="B215" s="389"/>
      <c r="C215" s="370"/>
      <c r="D215" s="393"/>
      <c r="E215" s="370"/>
      <c r="F215" s="60"/>
      <c r="G215" s="48"/>
      <c r="H215" s="60"/>
      <c r="I215" s="60"/>
      <c r="J215" s="60"/>
      <c r="K215" s="60"/>
      <c r="L215" s="48"/>
      <c r="M215" s="60"/>
      <c r="N215" s="60"/>
      <c r="O215" s="48"/>
      <c r="P215" s="48"/>
      <c r="Q215" s="48"/>
    </row>
    <row r="216">
      <c r="A216" s="367"/>
      <c r="B216" s="389"/>
      <c r="C216" s="370"/>
      <c r="D216" s="388"/>
      <c r="E216" s="370"/>
      <c r="F216" s="60"/>
      <c r="G216" s="48"/>
      <c r="H216" s="60"/>
      <c r="I216" s="60"/>
      <c r="J216" s="60"/>
      <c r="K216" s="60"/>
      <c r="L216" s="48"/>
      <c r="M216" s="60"/>
      <c r="N216" s="60"/>
      <c r="O216" s="48"/>
      <c r="P216" s="48"/>
      <c r="Q216" s="48"/>
    </row>
    <row r="217">
      <c r="A217" s="367"/>
      <c r="B217" s="389"/>
      <c r="C217" s="370"/>
      <c r="D217" s="388"/>
      <c r="E217" s="370"/>
      <c r="F217" s="60"/>
      <c r="G217" s="48"/>
      <c r="H217" s="60"/>
      <c r="I217" s="60"/>
      <c r="J217" s="60"/>
      <c r="K217" s="60"/>
      <c r="L217" s="48"/>
      <c r="M217" s="60"/>
      <c r="N217" s="60"/>
      <c r="O217" s="48"/>
      <c r="P217" s="48"/>
      <c r="Q217" s="48"/>
    </row>
    <row r="218">
      <c r="A218" s="367"/>
      <c r="B218" s="389"/>
      <c r="C218" s="370"/>
      <c r="D218" s="388"/>
      <c r="E218" s="370"/>
      <c r="F218" s="60"/>
      <c r="G218" s="48"/>
      <c r="H218" s="60"/>
      <c r="I218" s="60"/>
      <c r="J218" s="60"/>
      <c r="K218" s="60"/>
      <c r="L218" s="48"/>
      <c r="M218" s="60"/>
      <c r="N218" s="60"/>
      <c r="O218" s="48"/>
      <c r="P218" s="48"/>
      <c r="Q218" s="48"/>
    </row>
    <row r="219">
      <c r="A219" s="367"/>
      <c r="B219" s="389"/>
      <c r="C219" s="370"/>
      <c r="D219" s="388"/>
      <c r="E219" s="370"/>
      <c r="F219" s="60"/>
      <c r="G219" s="48"/>
      <c r="H219" s="60"/>
      <c r="I219" s="60"/>
      <c r="J219" s="60"/>
      <c r="K219" s="60"/>
      <c r="L219" s="48"/>
      <c r="M219" s="60"/>
      <c r="N219" s="60"/>
      <c r="O219" s="48"/>
      <c r="P219" s="48"/>
      <c r="Q219" s="48"/>
    </row>
    <row r="220">
      <c r="A220" s="392"/>
      <c r="B220" s="389"/>
      <c r="C220" s="370"/>
      <c r="D220" s="388"/>
      <c r="E220" s="370"/>
      <c r="F220" s="60"/>
      <c r="G220" s="48"/>
      <c r="H220" s="60"/>
      <c r="I220" s="60"/>
      <c r="J220" s="60"/>
      <c r="K220" s="60"/>
      <c r="L220" s="48"/>
      <c r="M220" s="60"/>
      <c r="N220" s="60"/>
      <c r="O220" s="48"/>
      <c r="P220" s="48"/>
      <c r="Q220" s="48"/>
    </row>
    <row r="221">
      <c r="A221" s="392"/>
      <c r="B221" s="389"/>
      <c r="C221" s="370"/>
      <c r="D221" s="388"/>
      <c r="E221" s="384"/>
      <c r="F221" s="60"/>
      <c r="G221" s="48"/>
      <c r="H221" s="60"/>
      <c r="I221" s="60"/>
      <c r="J221" s="60"/>
      <c r="K221" s="60"/>
      <c r="L221" s="48"/>
      <c r="M221" s="60"/>
      <c r="N221" s="60"/>
      <c r="O221" s="48"/>
      <c r="P221" s="48"/>
      <c r="Q221" s="48"/>
    </row>
    <row r="222">
      <c r="A222" s="367"/>
      <c r="B222" s="389"/>
      <c r="C222" s="370"/>
      <c r="D222" s="388"/>
      <c r="E222" s="383"/>
      <c r="F222" s="60"/>
      <c r="G222" s="48"/>
      <c r="H222" s="60"/>
      <c r="I222" s="60"/>
      <c r="J222" s="60"/>
      <c r="K222" s="60"/>
      <c r="L222" s="48"/>
      <c r="M222" s="60"/>
      <c r="N222" s="60"/>
      <c r="O222" s="48"/>
      <c r="P222" s="48"/>
      <c r="Q222" s="48"/>
    </row>
    <row r="223">
      <c r="A223" s="367"/>
      <c r="B223" s="389"/>
      <c r="C223" s="370"/>
      <c r="D223" s="388"/>
      <c r="E223" s="370"/>
      <c r="F223" s="60"/>
      <c r="G223" s="48"/>
      <c r="H223" s="60"/>
      <c r="I223" s="60"/>
      <c r="J223" s="60"/>
      <c r="K223" s="60"/>
      <c r="L223" s="48"/>
      <c r="M223" s="60"/>
      <c r="N223" s="60"/>
      <c r="O223" s="48"/>
      <c r="P223" s="48"/>
      <c r="Q223" s="48"/>
    </row>
    <row r="224">
      <c r="A224" s="392"/>
      <c r="B224" s="389"/>
      <c r="C224" s="370"/>
      <c r="D224" s="388"/>
      <c r="E224" s="384"/>
      <c r="F224" s="60"/>
      <c r="G224" s="48"/>
      <c r="H224" s="60"/>
      <c r="I224" s="60"/>
      <c r="J224" s="60"/>
      <c r="K224" s="60"/>
      <c r="L224" s="48"/>
      <c r="M224" s="60"/>
      <c r="N224" s="60"/>
      <c r="O224" s="48"/>
      <c r="P224" s="48"/>
      <c r="Q224" s="48"/>
    </row>
    <row r="225">
      <c r="A225" s="367"/>
      <c r="B225" s="389"/>
      <c r="C225" s="370"/>
      <c r="D225" s="388"/>
      <c r="E225" s="384"/>
      <c r="F225" s="60"/>
      <c r="G225" s="48"/>
      <c r="H225" s="60"/>
      <c r="I225" s="60"/>
      <c r="J225" s="60"/>
      <c r="K225" s="60"/>
      <c r="L225" s="48"/>
      <c r="M225" s="60"/>
      <c r="N225" s="60"/>
      <c r="O225" s="48"/>
      <c r="P225" s="48"/>
      <c r="Q225" s="48"/>
    </row>
    <row r="226">
      <c r="A226" s="392"/>
      <c r="B226" s="389"/>
      <c r="C226" s="370"/>
      <c r="D226" s="393"/>
      <c r="E226" s="384"/>
      <c r="F226" s="60"/>
      <c r="G226" s="48"/>
      <c r="H226" s="60"/>
      <c r="I226" s="60"/>
      <c r="J226" s="60"/>
      <c r="K226" s="60"/>
      <c r="L226" s="48"/>
      <c r="M226" s="60"/>
      <c r="N226" s="60"/>
      <c r="O226" s="48"/>
      <c r="P226" s="48"/>
      <c r="Q226" s="48"/>
    </row>
    <row r="227">
      <c r="A227" s="392"/>
      <c r="B227" s="389"/>
      <c r="C227" s="370"/>
      <c r="D227" s="388"/>
      <c r="E227" s="384"/>
      <c r="F227" s="60"/>
      <c r="G227" s="48"/>
      <c r="H227" s="60"/>
      <c r="I227" s="60"/>
      <c r="J227" s="60"/>
      <c r="K227" s="60"/>
      <c r="L227" s="48"/>
      <c r="M227" s="60"/>
      <c r="N227" s="60"/>
      <c r="O227" s="48"/>
      <c r="P227" s="48"/>
      <c r="Q227" s="48"/>
    </row>
    <row r="228">
      <c r="A228" s="367"/>
      <c r="B228" s="389"/>
      <c r="C228" s="370"/>
      <c r="D228" s="388"/>
      <c r="E228" s="370"/>
      <c r="F228" s="60"/>
      <c r="G228" s="48"/>
      <c r="H228" s="60"/>
      <c r="I228" s="60"/>
      <c r="J228" s="60"/>
      <c r="K228" s="60"/>
      <c r="L228" s="48"/>
      <c r="M228" s="60"/>
      <c r="N228" s="60"/>
      <c r="O228" s="48"/>
      <c r="P228" s="48"/>
      <c r="Q228" s="48"/>
    </row>
    <row r="229">
      <c r="A229" s="392"/>
      <c r="B229" s="389"/>
      <c r="C229" s="370"/>
      <c r="D229" s="388"/>
      <c r="E229" s="370"/>
      <c r="F229" s="60"/>
      <c r="G229" s="48"/>
      <c r="H229" s="60"/>
      <c r="I229" s="60"/>
      <c r="J229" s="60"/>
      <c r="K229" s="60"/>
      <c r="L229" s="48"/>
      <c r="M229" s="60"/>
      <c r="N229" s="60"/>
      <c r="O229" s="48"/>
      <c r="P229" s="48"/>
      <c r="Q229" s="48"/>
    </row>
    <row r="230">
      <c r="A230" s="392"/>
      <c r="B230" s="389"/>
      <c r="C230" s="370"/>
      <c r="D230" s="388"/>
      <c r="E230" s="384"/>
      <c r="F230" s="60"/>
      <c r="G230" s="48"/>
      <c r="H230" s="60"/>
      <c r="I230" s="60"/>
      <c r="J230" s="60"/>
      <c r="K230" s="60"/>
      <c r="L230" s="48"/>
      <c r="M230" s="60"/>
      <c r="N230" s="60"/>
      <c r="O230" s="48"/>
      <c r="P230" s="48"/>
      <c r="Q230" s="48"/>
    </row>
    <row r="231">
      <c r="A231" s="367"/>
      <c r="B231" s="389"/>
      <c r="C231" s="370"/>
      <c r="D231" s="388"/>
      <c r="E231" s="383"/>
      <c r="F231" s="60"/>
      <c r="G231" s="48"/>
      <c r="H231" s="60"/>
      <c r="I231" s="60"/>
      <c r="J231" s="60"/>
      <c r="K231" s="60"/>
      <c r="L231" s="48"/>
      <c r="M231" s="60"/>
      <c r="N231" s="60"/>
      <c r="O231" s="48"/>
      <c r="P231" s="48"/>
      <c r="Q231" s="48"/>
    </row>
    <row r="232">
      <c r="A232" s="392"/>
      <c r="B232" s="389"/>
      <c r="C232" s="370"/>
      <c r="D232" s="388"/>
      <c r="E232" s="384"/>
      <c r="F232" s="60"/>
      <c r="G232" s="48"/>
      <c r="H232" s="60"/>
      <c r="I232" s="60"/>
      <c r="J232" s="60"/>
      <c r="K232" s="60"/>
      <c r="L232" s="48"/>
      <c r="M232" s="60"/>
      <c r="N232" s="60"/>
      <c r="O232" s="48"/>
      <c r="P232" s="48"/>
      <c r="Q232" s="48"/>
    </row>
    <row r="233">
      <c r="A233" s="392"/>
      <c r="B233" s="389"/>
      <c r="C233" s="370"/>
      <c r="D233" s="388"/>
      <c r="E233" s="383"/>
      <c r="F233" s="60"/>
      <c r="G233" s="48"/>
      <c r="H233" s="60"/>
      <c r="I233" s="60"/>
      <c r="J233" s="60"/>
      <c r="K233" s="60"/>
      <c r="L233" s="48"/>
      <c r="M233" s="60"/>
      <c r="N233" s="60"/>
      <c r="O233" s="48"/>
      <c r="P233" s="48"/>
      <c r="Q233" s="48"/>
    </row>
    <row r="234">
      <c r="A234" s="392"/>
      <c r="B234" s="389"/>
      <c r="C234" s="370"/>
      <c r="D234" s="388"/>
      <c r="E234" s="384"/>
      <c r="F234" s="60"/>
      <c r="G234" s="48"/>
      <c r="H234" s="60"/>
      <c r="I234" s="60"/>
      <c r="J234" s="60"/>
      <c r="K234" s="60"/>
      <c r="L234" s="48"/>
      <c r="M234" s="60"/>
      <c r="N234" s="60"/>
      <c r="O234" s="48"/>
      <c r="P234" s="48"/>
      <c r="Q234" s="48"/>
    </row>
    <row r="235">
      <c r="A235" s="367"/>
      <c r="B235" s="389"/>
      <c r="C235" s="370"/>
      <c r="D235" s="388"/>
      <c r="E235" s="370"/>
      <c r="F235" s="60"/>
      <c r="G235" s="48"/>
      <c r="H235" s="60"/>
      <c r="I235" s="60"/>
      <c r="J235" s="60"/>
      <c r="K235" s="60"/>
      <c r="L235" s="48"/>
      <c r="M235" s="60"/>
      <c r="N235" s="60"/>
      <c r="O235" s="48"/>
      <c r="P235" s="48"/>
      <c r="Q235" s="48"/>
    </row>
    <row r="236">
      <c r="A236" s="367"/>
      <c r="B236" s="389"/>
      <c r="C236" s="370"/>
      <c r="D236" s="388"/>
      <c r="E236" s="370"/>
      <c r="F236" s="60"/>
      <c r="G236" s="48"/>
      <c r="H236" s="60"/>
      <c r="I236" s="60"/>
      <c r="J236" s="60"/>
      <c r="K236" s="60"/>
      <c r="L236" s="48"/>
      <c r="M236" s="60"/>
      <c r="N236" s="60"/>
      <c r="O236" s="48"/>
      <c r="P236" s="48"/>
      <c r="Q236" s="48"/>
    </row>
    <row r="237">
      <c r="A237" s="392"/>
      <c r="B237" s="389"/>
      <c r="C237" s="370"/>
      <c r="D237" s="388"/>
      <c r="E237" s="384"/>
      <c r="F237" s="60"/>
      <c r="G237" s="48"/>
      <c r="H237" s="60"/>
      <c r="I237" s="60"/>
      <c r="J237" s="60"/>
      <c r="K237" s="60"/>
      <c r="L237" s="48"/>
      <c r="M237" s="60"/>
      <c r="N237" s="60"/>
      <c r="O237" s="48"/>
      <c r="P237" s="48"/>
      <c r="Q237" s="48"/>
    </row>
    <row r="238">
      <c r="A238" s="392"/>
      <c r="B238" s="389"/>
      <c r="C238" s="370"/>
      <c r="D238" s="388"/>
      <c r="E238" s="383"/>
      <c r="F238" s="60"/>
      <c r="G238" s="48"/>
      <c r="H238" s="60"/>
      <c r="I238" s="60"/>
      <c r="J238" s="60"/>
      <c r="K238" s="60"/>
      <c r="L238" s="48"/>
      <c r="M238" s="60"/>
      <c r="N238" s="60"/>
      <c r="O238" s="48"/>
      <c r="P238" s="48"/>
      <c r="Q238" s="48"/>
    </row>
    <row r="239">
      <c r="A239" s="392"/>
      <c r="B239" s="389"/>
      <c r="C239" s="370"/>
      <c r="D239" s="388"/>
      <c r="E239" s="370"/>
      <c r="F239" s="60"/>
      <c r="G239" s="48"/>
      <c r="H239" s="60"/>
      <c r="I239" s="60"/>
      <c r="J239" s="60"/>
      <c r="K239" s="60"/>
      <c r="L239" s="48"/>
      <c r="M239" s="60"/>
      <c r="N239" s="60"/>
      <c r="O239" s="48"/>
      <c r="P239" s="48"/>
      <c r="Q239" s="48"/>
    </row>
    <row r="240">
      <c r="A240" s="367"/>
      <c r="B240" s="389"/>
      <c r="C240" s="370"/>
      <c r="D240" s="388"/>
      <c r="E240" s="370"/>
      <c r="F240" s="60"/>
      <c r="G240" s="48"/>
      <c r="H240" s="60"/>
      <c r="I240" s="60"/>
      <c r="J240" s="60"/>
      <c r="K240" s="60"/>
      <c r="L240" s="48"/>
      <c r="M240" s="60"/>
      <c r="N240" s="60"/>
      <c r="O240" s="48"/>
      <c r="P240" s="48"/>
      <c r="Q240" s="48"/>
    </row>
    <row r="241">
      <c r="A241" s="367"/>
      <c r="B241" s="389"/>
      <c r="C241" s="370"/>
      <c r="D241" s="388"/>
      <c r="E241" s="370"/>
      <c r="F241" s="60"/>
      <c r="G241" s="48"/>
      <c r="H241" s="60"/>
      <c r="I241" s="60"/>
      <c r="J241" s="60"/>
      <c r="K241" s="60"/>
      <c r="L241" s="48"/>
      <c r="M241" s="60"/>
      <c r="N241" s="60"/>
      <c r="O241" s="48"/>
      <c r="P241" s="48"/>
      <c r="Q241" s="48"/>
    </row>
    <row r="242">
      <c r="A242" s="367"/>
      <c r="B242" s="389"/>
      <c r="C242" s="370"/>
      <c r="D242" s="393"/>
      <c r="E242" s="370"/>
      <c r="F242" s="60"/>
      <c r="G242" s="48"/>
      <c r="H242" s="60"/>
      <c r="I242" s="60"/>
      <c r="J242" s="60"/>
      <c r="K242" s="60"/>
      <c r="L242" s="48"/>
      <c r="M242" s="60"/>
      <c r="N242" s="60"/>
      <c r="O242" s="48"/>
      <c r="P242" s="48"/>
      <c r="Q242" s="48"/>
    </row>
    <row r="243">
      <c r="A243" s="367"/>
      <c r="B243" s="389"/>
      <c r="C243" s="370"/>
      <c r="D243" s="388"/>
      <c r="E243" s="384"/>
      <c r="F243" s="60"/>
      <c r="G243" s="48"/>
      <c r="H243" s="60"/>
      <c r="I243" s="60"/>
      <c r="J243" s="60"/>
      <c r="K243" s="60"/>
      <c r="L243" s="48"/>
      <c r="M243" s="60"/>
      <c r="N243" s="60"/>
      <c r="O243" s="48"/>
      <c r="P243" s="48"/>
      <c r="Q243" s="48"/>
    </row>
    <row r="244">
      <c r="A244" s="367"/>
      <c r="B244" s="389"/>
      <c r="C244" s="370"/>
      <c r="D244" s="388"/>
      <c r="E244" s="370"/>
      <c r="F244" s="60"/>
      <c r="G244" s="48"/>
      <c r="H244" s="60"/>
      <c r="I244" s="60"/>
      <c r="J244" s="60"/>
      <c r="K244" s="60"/>
      <c r="L244" s="48"/>
      <c r="M244" s="60"/>
      <c r="N244" s="60"/>
      <c r="O244" s="48"/>
      <c r="P244" s="48"/>
      <c r="Q244" s="48"/>
    </row>
    <row r="245">
      <c r="A245" s="367"/>
      <c r="B245" s="389"/>
      <c r="C245" s="370"/>
      <c r="D245" s="388"/>
      <c r="E245" s="384"/>
      <c r="F245" s="60"/>
      <c r="G245" s="48"/>
      <c r="H245" s="60"/>
      <c r="I245" s="60"/>
      <c r="J245" s="60"/>
      <c r="K245" s="60"/>
      <c r="L245" s="48"/>
      <c r="M245" s="60"/>
      <c r="N245" s="60"/>
      <c r="O245" s="48"/>
      <c r="P245" s="48"/>
      <c r="Q245" s="48"/>
    </row>
    <row r="246">
      <c r="A246" s="367"/>
      <c r="B246" s="389"/>
      <c r="C246" s="370"/>
      <c r="D246" s="388"/>
      <c r="E246" s="370"/>
      <c r="F246" s="60"/>
      <c r="G246" s="48"/>
      <c r="H246" s="60"/>
      <c r="I246" s="60"/>
      <c r="J246" s="60"/>
      <c r="K246" s="60"/>
      <c r="L246" s="48"/>
      <c r="M246" s="60"/>
      <c r="N246" s="60"/>
      <c r="O246" s="48"/>
      <c r="P246" s="48"/>
      <c r="Q246" s="48"/>
    </row>
    <row r="247">
      <c r="A247" s="367"/>
      <c r="B247" s="389"/>
      <c r="C247" s="370"/>
      <c r="D247" s="388"/>
      <c r="E247" s="370"/>
      <c r="F247" s="60"/>
      <c r="G247" s="48"/>
      <c r="H247" s="60"/>
      <c r="I247" s="60"/>
      <c r="J247" s="60"/>
      <c r="K247" s="60"/>
      <c r="L247" s="48"/>
      <c r="M247" s="60"/>
      <c r="N247" s="60"/>
      <c r="O247" s="48"/>
      <c r="P247" s="48"/>
      <c r="Q247" s="48"/>
    </row>
    <row r="248">
      <c r="A248" s="392"/>
      <c r="B248" s="389"/>
      <c r="C248" s="370"/>
      <c r="D248" s="388"/>
      <c r="E248" s="383"/>
      <c r="F248" s="60"/>
      <c r="G248" s="48"/>
      <c r="H248" s="60"/>
      <c r="I248" s="60"/>
      <c r="J248" s="60"/>
      <c r="K248" s="60"/>
      <c r="L248" s="48"/>
      <c r="M248" s="60"/>
      <c r="N248" s="60"/>
      <c r="O248" s="48"/>
      <c r="P248" s="48"/>
      <c r="Q248" s="48"/>
    </row>
    <row r="249">
      <c r="A249" s="392"/>
      <c r="B249" s="389"/>
      <c r="C249" s="370"/>
      <c r="D249" s="388"/>
      <c r="E249" s="370"/>
      <c r="F249" s="60"/>
      <c r="G249" s="48"/>
      <c r="H249" s="60"/>
      <c r="I249" s="60"/>
      <c r="J249" s="60"/>
      <c r="K249" s="60"/>
      <c r="L249" s="48"/>
      <c r="M249" s="60"/>
      <c r="N249" s="60"/>
      <c r="O249" s="48"/>
      <c r="P249" s="48"/>
      <c r="Q249" s="48"/>
    </row>
    <row r="250">
      <c r="A250" s="367"/>
      <c r="B250" s="389"/>
      <c r="C250" s="370"/>
      <c r="D250" s="388"/>
      <c r="E250" s="370"/>
      <c r="F250" s="60"/>
      <c r="G250" s="48"/>
      <c r="H250" s="60"/>
      <c r="I250" s="60"/>
      <c r="J250" s="60"/>
      <c r="K250" s="60"/>
      <c r="L250" s="48"/>
      <c r="M250" s="60"/>
      <c r="N250" s="60"/>
      <c r="O250" s="48"/>
      <c r="P250" s="48"/>
      <c r="Q250" s="48"/>
    </row>
    <row r="251">
      <c r="A251" s="392"/>
      <c r="B251" s="389"/>
      <c r="C251" s="370"/>
      <c r="D251" s="388"/>
      <c r="E251" s="384"/>
      <c r="F251" s="60"/>
      <c r="G251" s="48"/>
      <c r="H251" s="60"/>
      <c r="I251" s="60"/>
      <c r="J251" s="60"/>
      <c r="K251" s="60"/>
      <c r="L251" s="48"/>
      <c r="M251" s="60"/>
      <c r="N251" s="60"/>
      <c r="O251" s="48"/>
      <c r="P251" s="48"/>
      <c r="Q251" s="48"/>
    </row>
    <row r="252">
      <c r="A252" s="392"/>
      <c r="B252" s="389"/>
      <c r="C252" s="370"/>
      <c r="D252" s="388"/>
      <c r="E252" s="383"/>
      <c r="F252" s="60"/>
      <c r="G252" s="48"/>
      <c r="H252" s="60"/>
      <c r="I252" s="60"/>
      <c r="J252" s="60"/>
      <c r="K252" s="60"/>
      <c r="L252" s="48"/>
      <c r="M252" s="60"/>
      <c r="N252" s="60"/>
      <c r="O252" s="48"/>
      <c r="P252" s="48"/>
      <c r="Q252" s="48"/>
    </row>
    <row r="253">
      <c r="A253" s="392"/>
      <c r="B253" s="389"/>
      <c r="C253" s="370"/>
      <c r="D253" s="388"/>
      <c r="E253" s="370"/>
      <c r="F253" s="60"/>
      <c r="G253" s="48"/>
      <c r="H253" s="60"/>
      <c r="I253" s="60"/>
      <c r="J253" s="60"/>
      <c r="K253" s="60"/>
      <c r="L253" s="48"/>
      <c r="M253" s="60"/>
      <c r="N253" s="60"/>
      <c r="O253" s="48"/>
      <c r="P253" s="48"/>
      <c r="Q253" s="48"/>
    </row>
    <row r="254">
      <c r="A254" s="360"/>
      <c r="B254" s="360"/>
      <c r="C254" s="361"/>
      <c r="D254" s="360"/>
      <c r="E254" s="362"/>
      <c r="F254" s="60"/>
      <c r="G254" s="48"/>
      <c r="H254" s="60"/>
      <c r="I254" s="60"/>
      <c r="J254" s="60"/>
      <c r="K254" s="60"/>
      <c r="L254" s="48"/>
      <c r="M254" s="60"/>
      <c r="N254" s="60"/>
      <c r="O254" s="48"/>
      <c r="P254" s="48"/>
      <c r="Q254" s="48"/>
    </row>
    <row r="255">
      <c r="A255" s="367"/>
      <c r="B255" s="389"/>
      <c r="C255" s="370"/>
      <c r="D255" s="388"/>
      <c r="E255" s="370"/>
      <c r="F255" s="60"/>
      <c r="G255" s="48"/>
      <c r="H255" s="60"/>
      <c r="I255" s="60"/>
      <c r="J255" s="60"/>
      <c r="K255" s="60"/>
      <c r="L255" s="48"/>
      <c r="M255" s="60"/>
      <c r="N255" s="60"/>
      <c r="O255" s="48"/>
      <c r="P255" s="48"/>
      <c r="Q255" s="48"/>
    </row>
    <row r="256">
      <c r="A256" s="367"/>
      <c r="B256" s="389"/>
      <c r="C256" s="370"/>
      <c r="D256" s="393"/>
      <c r="E256" s="370"/>
      <c r="F256" s="60"/>
      <c r="G256" s="48"/>
      <c r="H256" s="60"/>
      <c r="I256" s="60"/>
      <c r="J256" s="60"/>
      <c r="K256" s="60"/>
      <c r="L256" s="48"/>
      <c r="M256" s="60"/>
      <c r="N256" s="60"/>
      <c r="O256" s="48"/>
      <c r="P256" s="48"/>
      <c r="Q256" s="48"/>
    </row>
    <row r="257">
      <c r="A257" s="367"/>
      <c r="B257" s="389"/>
      <c r="C257" s="370"/>
      <c r="D257" s="388"/>
      <c r="E257" s="370"/>
      <c r="F257" s="60"/>
      <c r="G257" s="48"/>
      <c r="H257" s="60"/>
      <c r="I257" s="60"/>
      <c r="J257" s="60"/>
      <c r="K257" s="60"/>
      <c r="L257" s="48"/>
      <c r="M257" s="60"/>
      <c r="N257" s="60"/>
      <c r="O257" s="48"/>
      <c r="P257" s="48"/>
      <c r="Q257" s="48"/>
    </row>
    <row r="258">
      <c r="A258" s="367"/>
      <c r="B258" s="389"/>
      <c r="C258" s="370"/>
      <c r="D258" s="388"/>
      <c r="E258" s="370"/>
      <c r="F258" s="60"/>
      <c r="G258" s="48"/>
      <c r="H258" s="60"/>
      <c r="I258" s="60"/>
      <c r="J258" s="60"/>
      <c r="K258" s="60"/>
      <c r="L258" s="48"/>
      <c r="M258" s="60"/>
      <c r="N258" s="60"/>
      <c r="O258" s="48"/>
      <c r="P258" s="48"/>
      <c r="Q258" s="48"/>
    </row>
    <row r="259">
      <c r="A259" s="367"/>
      <c r="B259" s="389"/>
      <c r="C259" s="370"/>
      <c r="D259" s="388"/>
      <c r="E259" s="370"/>
      <c r="F259" s="60"/>
      <c r="G259" s="48"/>
      <c r="H259" s="60"/>
      <c r="I259" s="60"/>
      <c r="J259" s="60"/>
      <c r="K259" s="60"/>
      <c r="L259" s="48"/>
      <c r="M259" s="60"/>
      <c r="N259" s="60"/>
      <c r="O259" s="48"/>
      <c r="P259" s="48"/>
      <c r="Q259" s="48"/>
    </row>
    <row r="260">
      <c r="A260" s="367"/>
      <c r="B260" s="389"/>
      <c r="C260" s="370"/>
      <c r="D260" s="388"/>
      <c r="E260" s="370"/>
      <c r="F260" s="60"/>
      <c r="G260" s="48"/>
      <c r="H260" s="60"/>
      <c r="I260" s="60"/>
      <c r="J260" s="60"/>
      <c r="K260" s="60"/>
      <c r="L260" s="48"/>
      <c r="M260" s="60"/>
      <c r="N260" s="60"/>
      <c r="O260" s="48"/>
      <c r="P260" s="48"/>
      <c r="Q260" s="48"/>
    </row>
    <row r="261">
      <c r="A261" s="392"/>
      <c r="B261" s="389"/>
      <c r="C261" s="370"/>
      <c r="D261" s="388"/>
      <c r="E261" s="370"/>
      <c r="F261" s="60"/>
      <c r="G261" s="48"/>
      <c r="H261" s="60"/>
      <c r="I261" s="60"/>
      <c r="J261" s="60"/>
      <c r="K261" s="60"/>
      <c r="L261" s="48"/>
      <c r="M261" s="60"/>
      <c r="N261" s="60"/>
      <c r="O261" s="48"/>
      <c r="P261" s="48"/>
      <c r="Q261" s="48"/>
    </row>
    <row r="262">
      <c r="A262" s="392"/>
      <c r="B262" s="389"/>
      <c r="C262" s="370"/>
      <c r="D262" s="388"/>
      <c r="E262" s="384"/>
      <c r="F262" s="60"/>
      <c r="G262" s="48"/>
      <c r="H262" s="60"/>
      <c r="I262" s="60"/>
      <c r="J262" s="60"/>
      <c r="K262" s="60"/>
      <c r="L262" s="48"/>
      <c r="M262" s="60"/>
      <c r="N262" s="60"/>
      <c r="O262" s="48"/>
      <c r="P262" s="48"/>
      <c r="Q262" s="48"/>
    </row>
    <row r="263">
      <c r="A263" s="367"/>
      <c r="B263" s="389"/>
      <c r="C263" s="370"/>
      <c r="D263" s="388"/>
      <c r="E263" s="383"/>
      <c r="F263" s="60"/>
      <c r="G263" s="48"/>
      <c r="H263" s="60"/>
      <c r="I263" s="60"/>
      <c r="J263" s="60"/>
      <c r="K263" s="60"/>
      <c r="L263" s="48"/>
      <c r="M263" s="60"/>
      <c r="N263" s="60"/>
      <c r="O263" s="48"/>
      <c r="P263" s="48"/>
      <c r="Q263" s="48"/>
    </row>
    <row r="264">
      <c r="A264" s="367"/>
      <c r="B264" s="389"/>
      <c r="C264" s="370"/>
      <c r="D264" s="388"/>
      <c r="E264" s="370"/>
      <c r="F264" s="60"/>
      <c r="G264" s="48"/>
      <c r="H264" s="60"/>
      <c r="I264" s="60"/>
      <c r="J264" s="60"/>
      <c r="K264" s="60"/>
      <c r="L264" s="48"/>
      <c r="M264" s="60"/>
      <c r="N264" s="60"/>
      <c r="O264" s="48"/>
      <c r="P264" s="48"/>
      <c r="Q264" s="48"/>
    </row>
    <row r="265">
      <c r="A265" s="392"/>
      <c r="B265" s="389"/>
      <c r="C265" s="370"/>
      <c r="D265" s="388"/>
      <c r="E265" s="384"/>
      <c r="F265" s="60"/>
      <c r="G265" s="48"/>
      <c r="H265" s="60"/>
      <c r="I265" s="60"/>
      <c r="J265" s="60"/>
      <c r="K265" s="60"/>
      <c r="L265" s="48"/>
      <c r="M265" s="60"/>
      <c r="N265" s="60"/>
      <c r="O265" s="48"/>
      <c r="P265" s="48"/>
      <c r="Q265" s="48"/>
    </row>
    <row r="266">
      <c r="A266" s="367"/>
      <c r="B266" s="389"/>
      <c r="C266" s="370"/>
      <c r="D266" s="388"/>
      <c r="E266" s="384"/>
      <c r="F266" s="60"/>
      <c r="G266" s="48"/>
      <c r="H266" s="60"/>
      <c r="I266" s="60"/>
      <c r="J266" s="60"/>
      <c r="K266" s="60"/>
      <c r="L266" s="48"/>
      <c r="M266" s="60"/>
      <c r="N266" s="60"/>
      <c r="O266" s="48"/>
      <c r="P266" s="48"/>
      <c r="Q266" s="48"/>
    </row>
    <row r="267">
      <c r="A267" s="392"/>
      <c r="B267" s="389"/>
      <c r="C267" s="370"/>
      <c r="D267" s="393"/>
      <c r="E267" s="384"/>
      <c r="F267" s="60"/>
      <c r="G267" s="48"/>
      <c r="H267" s="60"/>
      <c r="I267" s="60"/>
      <c r="J267" s="60"/>
      <c r="K267" s="60"/>
      <c r="L267" s="48"/>
      <c r="M267" s="60"/>
      <c r="N267" s="60"/>
      <c r="O267" s="48"/>
      <c r="P267" s="48"/>
      <c r="Q267" s="48"/>
    </row>
    <row r="268">
      <c r="A268" s="392"/>
      <c r="B268" s="389"/>
      <c r="C268" s="370"/>
      <c r="D268" s="388"/>
      <c r="E268" s="384"/>
      <c r="F268" s="60"/>
      <c r="G268" s="48"/>
      <c r="H268" s="60"/>
      <c r="I268" s="60"/>
      <c r="J268" s="60"/>
      <c r="K268" s="60"/>
      <c r="L268" s="48"/>
      <c r="M268" s="60"/>
      <c r="N268" s="60"/>
      <c r="O268" s="48"/>
      <c r="P268" s="48"/>
      <c r="Q268" s="48"/>
    </row>
    <row r="269">
      <c r="A269" s="367"/>
      <c r="B269" s="389"/>
      <c r="C269" s="370"/>
      <c r="D269" s="388"/>
      <c r="E269" s="370"/>
      <c r="F269" s="60"/>
      <c r="G269" s="48"/>
      <c r="H269" s="60"/>
      <c r="I269" s="60"/>
      <c r="J269" s="60"/>
      <c r="K269" s="60"/>
      <c r="L269" s="48"/>
      <c r="M269" s="60"/>
      <c r="N269" s="60"/>
      <c r="O269" s="48"/>
      <c r="P269" s="48"/>
      <c r="Q269" s="48"/>
    </row>
    <row r="270">
      <c r="A270" s="392"/>
      <c r="B270" s="389"/>
      <c r="C270" s="370"/>
      <c r="D270" s="388"/>
      <c r="E270" s="370"/>
      <c r="F270" s="60"/>
      <c r="G270" s="48"/>
      <c r="H270" s="60"/>
      <c r="I270" s="60"/>
      <c r="J270" s="60"/>
      <c r="K270" s="60"/>
      <c r="L270" s="48"/>
      <c r="M270" s="60"/>
      <c r="N270" s="60"/>
      <c r="O270" s="48"/>
      <c r="P270" s="48"/>
      <c r="Q270" s="48"/>
    </row>
    <row r="271">
      <c r="A271" s="392"/>
      <c r="B271" s="389"/>
      <c r="C271" s="370"/>
      <c r="D271" s="388"/>
      <c r="E271" s="384"/>
      <c r="F271" s="60"/>
      <c r="G271" s="48"/>
      <c r="H271" s="60"/>
      <c r="I271" s="60"/>
      <c r="J271" s="60"/>
      <c r="K271" s="60"/>
      <c r="L271" s="48"/>
      <c r="M271" s="60"/>
      <c r="N271" s="60"/>
      <c r="O271" s="48"/>
      <c r="P271" s="48"/>
      <c r="Q271" s="48"/>
    </row>
    <row r="272">
      <c r="A272" s="367"/>
      <c r="B272" s="389"/>
      <c r="C272" s="370"/>
      <c r="D272" s="388"/>
      <c r="E272" s="383"/>
      <c r="F272" s="60"/>
      <c r="G272" s="48"/>
      <c r="H272" s="60"/>
      <c r="I272" s="60"/>
      <c r="J272" s="60"/>
      <c r="K272" s="60"/>
      <c r="L272" s="48"/>
      <c r="M272" s="60"/>
      <c r="N272" s="60"/>
      <c r="O272" s="48"/>
      <c r="P272" s="48"/>
      <c r="Q272" s="48"/>
    </row>
    <row r="273">
      <c r="A273" s="392"/>
      <c r="B273" s="389"/>
      <c r="C273" s="370"/>
      <c r="D273" s="388"/>
      <c r="E273" s="384"/>
      <c r="F273" s="60"/>
      <c r="G273" s="48"/>
      <c r="H273" s="60"/>
      <c r="I273" s="60"/>
      <c r="J273" s="60"/>
      <c r="K273" s="60"/>
      <c r="L273" s="48"/>
      <c r="M273" s="60"/>
      <c r="N273" s="60"/>
      <c r="O273" s="48"/>
      <c r="P273" s="48"/>
      <c r="Q273" s="48"/>
    </row>
    <row r="274">
      <c r="A274" s="392"/>
      <c r="B274" s="389"/>
      <c r="C274" s="370"/>
      <c r="D274" s="388"/>
      <c r="E274" s="383"/>
      <c r="F274" s="60"/>
      <c r="G274" s="48"/>
      <c r="H274" s="60"/>
      <c r="I274" s="60"/>
      <c r="J274" s="60"/>
      <c r="K274" s="60"/>
      <c r="L274" s="48"/>
      <c r="M274" s="60"/>
      <c r="N274" s="60"/>
      <c r="O274" s="48"/>
      <c r="P274" s="48"/>
      <c r="Q274" s="48"/>
    </row>
    <row r="275">
      <c r="A275" s="392"/>
      <c r="B275" s="389"/>
      <c r="C275" s="370"/>
      <c r="D275" s="388"/>
      <c r="E275" s="384"/>
      <c r="F275" s="60"/>
      <c r="G275" s="48"/>
      <c r="H275" s="60"/>
      <c r="I275" s="60"/>
      <c r="J275" s="60"/>
      <c r="K275" s="60"/>
      <c r="L275" s="48"/>
      <c r="M275" s="60"/>
      <c r="N275" s="60"/>
      <c r="O275" s="48"/>
      <c r="P275" s="48"/>
      <c r="Q275" s="48"/>
    </row>
    <row r="276">
      <c r="A276" s="367"/>
      <c r="B276" s="389"/>
      <c r="C276" s="370"/>
      <c r="D276" s="388"/>
      <c r="E276" s="370"/>
      <c r="F276" s="60"/>
      <c r="G276" s="48"/>
      <c r="H276" s="60"/>
      <c r="I276" s="60"/>
      <c r="J276" s="60"/>
      <c r="K276" s="60"/>
      <c r="L276" s="48"/>
      <c r="M276" s="60"/>
      <c r="N276" s="60"/>
      <c r="O276" s="48"/>
      <c r="P276" s="48"/>
      <c r="Q276" s="48"/>
    </row>
    <row r="277">
      <c r="A277" s="367"/>
      <c r="B277" s="389"/>
      <c r="C277" s="370"/>
      <c r="D277" s="388"/>
      <c r="E277" s="370"/>
      <c r="F277" s="60"/>
      <c r="G277" s="48"/>
      <c r="H277" s="60"/>
      <c r="I277" s="60"/>
      <c r="J277" s="60"/>
      <c r="K277" s="60"/>
      <c r="L277" s="48"/>
      <c r="M277" s="60"/>
      <c r="N277" s="60"/>
      <c r="O277" s="48"/>
      <c r="P277" s="48"/>
      <c r="Q277" s="48"/>
    </row>
    <row r="278">
      <c r="A278" s="392"/>
      <c r="B278" s="389"/>
      <c r="C278" s="370"/>
      <c r="D278" s="388"/>
      <c r="E278" s="384"/>
      <c r="F278" s="60"/>
      <c r="G278" s="48"/>
      <c r="H278" s="60"/>
      <c r="I278" s="60"/>
      <c r="J278" s="60"/>
      <c r="K278" s="60"/>
      <c r="L278" s="48"/>
      <c r="M278" s="60"/>
      <c r="N278" s="60"/>
      <c r="O278" s="48"/>
      <c r="P278" s="48"/>
      <c r="Q278" s="48"/>
    </row>
    <row r="279">
      <c r="A279" s="392"/>
      <c r="B279" s="389"/>
      <c r="C279" s="370"/>
      <c r="D279" s="388"/>
      <c r="E279" s="383"/>
      <c r="F279" s="60"/>
      <c r="G279" s="48"/>
      <c r="H279" s="60"/>
      <c r="I279" s="60"/>
      <c r="J279" s="60"/>
      <c r="K279" s="60"/>
      <c r="L279" s="48"/>
      <c r="M279" s="60"/>
      <c r="N279" s="60"/>
      <c r="O279" s="48"/>
      <c r="P279" s="48"/>
      <c r="Q279" s="48"/>
    </row>
    <row r="280">
      <c r="A280" s="392"/>
      <c r="B280" s="389"/>
      <c r="C280" s="370"/>
      <c r="D280" s="388"/>
      <c r="E280" s="370"/>
      <c r="F280" s="60"/>
      <c r="G280" s="48"/>
      <c r="H280" s="60"/>
      <c r="I280" s="60"/>
      <c r="J280" s="60"/>
      <c r="K280" s="60"/>
      <c r="L280" s="48"/>
      <c r="M280" s="60"/>
      <c r="N280" s="60"/>
      <c r="O280" s="48"/>
      <c r="P280" s="48"/>
      <c r="Q280" s="48"/>
    </row>
    <row r="281">
      <c r="A281" s="367"/>
      <c r="B281" s="389"/>
      <c r="C281" s="370"/>
      <c r="D281" s="388"/>
      <c r="E281" s="370"/>
      <c r="F281" s="60"/>
      <c r="G281" s="48"/>
      <c r="H281" s="60"/>
      <c r="I281" s="60"/>
      <c r="J281" s="60"/>
      <c r="K281" s="60"/>
      <c r="L281" s="48"/>
      <c r="M281" s="60"/>
      <c r="N281" s="60"/>
      <c r="O281" s="48"/>
      <c r="P281" s="48"/>
      <c r="Q281" s="48"/>
    </row>
    <row r="282">
      <c r="A282" s="367"/>
      <c r="B282" s="389"/>
      <c r="C282" s="370"/>
      <c r="D282" s="388"/>
      <c r="E282" s="370"/>
      <c r="F282" s="60"/>
      <c r="G282" s="48"/>
      <c r="H282" s="60"/>
      <c r="I282" s="60"/>
      <c r="J282" s="60"/>
      <c r="K282" s="60"/>
      <c r="L282" s="48"/>
      <c r="M282" s="60"/>
      <c r="N282" s="60"/>
      <c r="O282" s="48"/>
      <c r="P282" s="48"/>
      <c r="Q282" s="48"/>
    </row>
    <row r="283">
      <c r="A283" s="367"/>
      <c r="B283" s="389"/>
      <c r="C283" s="370"/>
      <c r="D283" s="393"/>
      <c r="E283" s="370"/>
      <c r="F283" s="60"/>
      <c r="G283" s="48"/>
      <c r="H283" s="60"/>
      <c r="I283" s="60"/>
      <c r="J283" s="60"/>
      <c r="K283" s="60"/>
      <c r="L283" s="48"/>
      <c r="M283" s="60"/>
      <c r="N283" s="60"/>
      <c r="O283" s="48"/>
      <c r="P283" s="48"/>
      <c r="Q283" s="48"/>
    </row>
    <row r="284">
      <c r="A284" s="367"/>
      <c r="B284" s="389"/>
      <c r="C284" s="370"/>
      <c r="D284" s="388"/>
      <c r="E284" s="384"/>
      <c r="F284" s="60"/>
      <c r="G284" s="48"/>
      <c r="H284" s="60"/>
      <c r="I284" s="60"/>
      <c r="J284" s="60"/>
      <c r="K284" s="60"/>
      <c r="L284" s="48"/>
      <c r="M284" s="60"/>
      <c r="N284" s="60"/>
      <c r="O284" s="48"/>
      <c r="P284" s="48"/>
      <c r="Q284" s="48"/>
    </row>
    <row r="285">
      <c r="A285" s="367"/>
      <c r="B285" s="389"/>
      <c r="C285" s="370"/>
      <c r="D285" s="388"/>
      <c r="E285" s="370"/>
      <c r="F285" s="60"/>
      <c r="G285" s="48"/>
      <c r="H285" s="60"/>
      <c r="I285" s="60"/>
      <c r="J285" s="60"/>
      <c r="K285" s="60"/>
      <c r="L285" s="48"/>
      <c r="M285" s="60"/>
      <c r="N285" s="60"/>
      <c r="O285" s="48"/>
      <c r="P285" s="48"/>
      <c r="Q285" s="48"/>
    </row>
    <row r="286">
      <c r="A286" s="367"/>
      <c r="B286" s="389"/>
      <c r="C286" s="370"/>
      <c r="D286" s="388"/>
      <c r="E286" s="384"/>
      <c r="F286" s="60"/>
      <c r="G286" s="48"/>
      <c r="H286" s="60"/>
      <c r="I286" s="60"/>
      <c r="J286" s="60"/>
      <c r="K286" s="60"/>
      <c r="L286" s="48"/>
      <c r="M286" s="60"/>
      <c r="N286" s="60"/>
      <c r="O286" s="48"/>
      <c r="P286" s="48"/>
      <c r="Q286" s="48"/>
    </row>
    <row r="287">
      <c r="A287" s="367"/>
      <c r="B287" s="389"/>
      <c r="C287" s="370"/>
      <c r="D287" s="388"/>
      <c r="E287" s="370"/>
      <c r="F287" s="60"/>
      <c r="G287" s="48"/>
      <c r="H287" s="60"/>
      <c r="I287" s="60"/>
      <c r="J287" s="60"/>
      <c r="K287" s="60"/>
      <c r="L287" s="48"/>
      <c r="M287" s="60"/>
      <c r="N287" s="60"/>
      <c r="O287" s="48"/>
      <c r="P287" s="48"/>
      <c r="Q287" s="48"/>
    </row>
    <row r="288">
      <c r="A288" s="367"/>
      <c r="B288" s="389"/>
      <c r="C288" s="370"/>
      <c r="D288" s="388"/>
      <c r="E288" s="370"/>
      <c r="F288" s="60"/>
      <c r="G288" s="48"/>
      <c r="H288" s="60"/>
      <c r="I288" s="60"/>
      <c r="J288" s="60"/>
      <c r="K288" s="60"/>
      <c r="L288" s="48"/>
      <c r="M288" s="60"/>
      <c r="N288" s="60"/>
      <c r="O288" s="48"/>
      <c r="P288" s="48"/>
      <c r="Q288" s="48"/>
    </row>
    <row r="289">
      <c r="A289" s="392"/>
      <c r="B289" s="389"/>
      <c r="C289" s="370"/>
      <c r="D289" s="388"/>
      <c r="E289" s="383"/>
      <c r="F289" s="60"/>
      <c r="G289" s="48"/>
      <c r="H289" s="60"/>
      <c r="I289" s="60"/>
      <c r="J289" s="60"/>
      <c r="K289" s="60"/>
      <c r="L289" s="48"/>
      <c r="M289" s="60"/>
      <c r="N289" s="60"/>
      <c r="O289" s="48"/>
      <c r="P289" s="48"/>
      <c r="Q289" s="48"/>
    </row>
    <row r="290">
      <c r="A290" s="392"/>
      <c r="B290" s="389"/>
      <c r="C290" s="370"/>
      <c r="D290" s="388"/>
      <c r="E290" s="370"/>
      <c r="F290" s="60"/>
      <c r="G290" s="48"/>
      <c r="H290" s="60"/>
      <c r="I290" s="60"/>
      <c r="J290" s="60"/>
      <c r="K290" s="60"/>
      <c r="L290" s="48"/>
      <c r="M290" s="60"/>
      <c r="N290" s="60"/>
      <c r="O290" s="48"/>
      <c r="P290" s="48"/>
      <c r="Q290" s="48"/>
    </row>
    <row r="291">
      <c r="A291" s="367"/>
      <c r="B291" s="389"/>
      <c r="C291" s="370"/>
      <c r="D291" s="388"/>
      <c r="E291" s="370"/>
      <c r="F291" s="60"/>
      <c r="G291" s="48"/>
      <c r="H291" s="60"/>
      <c r="I291" s="60"/>
      <c r="J291" s="60"/>
      <c r="K291" s="60"/>
      <c r="L291" s="48"/>
      <c r="M291" s="60"/>
      <c r="N291" s="60"/>
      <c r="O291" s="48"/>
      <c r="P291" s="48"/>
      <c r="Q291" s="48"/>
    </row>
    <row r="292">
      <c r="A292" s="392"/>
      <c r="B292" s="389"/>
      <c r="C292" s="370"/>
      <c r="D292" s="388"/>
      <c r="E292" s="384"/>
      <c r="F292" s="60"/>
      <c r="G292" s="48"/>
      <c r="H292" s="60"/>
      <c r="I292" s="60"/>
      <c r="J292" s="60"/>
      <c r="K292" s="60"/>
      <c r="L292" s="48"/>
      <c r="M292" s="60"/>
      <c r="N292" s="60"/>
      <c r="O292" s="48"/>
      <c r="P292" s="48"/>
      <c r="Q292" s="48"/>
    </row>
    <row r="293">
      <c r="A293" s="392"/>
      <c r="B293" s="389"/>
      <c r="C293" s="370"/>
      <c r="D293" s="388"/>
      <c r="E293" s="383"/>
      <c r="F293" s="60"/>
      <c r="G293" s="48"/>
      <c r="H293" s="60"/>
      <c r="I293" s="60"/>
      <c r="J293" s="60"/>
      <c r="K293" s="60"/>
      <c r="L293" s="48"/>
      <c r="M293" s="60"/>
      <c r="N293" s="60"/>
      <c r="O293" s="48"/>
      <c r="P293" s="48"/>
      <c r="Q293" s="48"/>
    </row>
    <row r="294">
      <c r="A294" s="392"/>
      <c r="B294" s="389"/>
      <c r="C294" s="370"/>
      <c r="D294" s="388"/>
      <c r="E294" s="370"/>
      <c r="F294" s="60"/>
      <c r="G294" s="48"/>
      <c r="H294" s="60"/>
      <c r="I294" s="60"/>
      <c r="J294" s="60"/>
      <c r="K294" s="60"/>
      <c r="L294" s="48"/>
      <c r="M294" s="60"/>
      <c r="N294" s="60"/>
      <c r="O294" s="48"/>
      <c r="P294" s="48"/>
      <c r="Q294" s="48"/>
    </row>
    <row r="295">
      <c r="A295" s="360"/>
      <c r="B295" s="360"/>
      <c r="C295" s="361"/>
      <c r="D295" s="360"/>
      <c r="E295" s="362"/>
      <c r="F295" s="60"/>
      <c r="G295" s="48"/>
      <c r="H295" s="60"/>
      <c r="I295" s="60"/>
      <c r="J295" s="60"/>
      <c r="K295" s="60"/>
      <c r="L295" s="48"/>
      <c r="M295" s="60"/>
      <c r="N295" s="60"/>
      <c r="O295" s="48"/>
      <c r="P295" s="48"/>
      <c r="Q295" s="48"/>
    </row>
    <row r="296">
      <c r="A296" s="367"/>
      <c r="B296" s="389"/>
      <c r="C296" s="370"/>
      <c r="D296" s="388"/>
      <c r="E296" s="370"/>
      <c r="F296" s="60"/>
      <c r="G296" s="48"/>
      <c r="H296" s="60"/>
      <c r="I296" s="60"/>
      <c r="J296" s="60"/>
      <c r="K296" s="60"/>
      <c r="L296" s="48"/>
      <c r="M296" s="60"/>
      <c r="N296" s="60"/>
      <c r="O296" s="48"/>
      <c r="P296" s="48"/>
      <c r="Q296" s="48"/>
    </row>
    <row r="297">
      <c r="A297" s="367"/>
      <c r="B297" s="389"/>
      <c r="C297" s="370"/>
      <c r="D297" s="393"/>
      <c r="E297" s="370"/>
      <c r="F297" s="60"/>
      <c r="G297" s="48"/>
      <c r="H297" s="60"/>
      <c r="I297" s="60"/>
      <c r="J297" s="60"/>
      <c r="K297" s="60"/>
      <c r="L297" s="48"/>
      <c r="M297" s="60"/>
      <c r="N297" s="60"/>
      <c r="O297" s="48"/>
      <c r="P297" s="48"/>
      <c r="Q297" s="48"/>
    </row>
    <row r="298">
      <c r="A298" s="367"/>
      <c r="B298" s="389"/>
      <c r="C298" s="370"/>
      <c r="D298" s="388"/>
      <c r="E298" s="370"/>
      <c r="F298" s="60"/>
      <c r="G298" s="48"/>
      <c r="H298" s="60"/>
      <c r="I298" s="60"/>
      <c r="J298" s="60"/>
      <c r="K298" s="60"/>
      <c r="L298" s="48"/>
      <c r="M298" s="60"/>
      <c r="N298" s="60"/>
      <c r="O298" s="48"/>
      <c r="P298" s="48"/>
      <c r="Q298" s="48"/>
    </row>
    <row r="299">
      <c r="A299" s="367"/>
      <c r="B299" s="389"/>
      <c r="C299" s="370"/>
      <c r="D299" s="388"/>
      <c r="E299" s="370"/>
      <c r="F299" s="60"/>
      <c r="G299" s="48"/>
      <c r="H299" s="60"/>
      <c r="I299" s="60"/>
      <c r="J299" s="60"/>
      <c r="K299" s="60"/>
      <c r="L299" s="48"/>
      <c r="M299" s="60"/>
      <c r="N299" s="60"/>
      <c r="O299" s="48"/>
      <c r="P299" s="48"/>
      <c r="Q299" s="48"/>
    </row>
    <row r="300">
      <c r="A300" s="367"/>
      <c r="B300" s="389"/>
      <c r="C300" s="370"/>
      <c r="D300" s="388"/>
      <c r="E300" s="370"/>
      <c r="F300" s="60"/>
      <c r="G300" s="48"/>
      <c r="H300" s="60"/>
      <c r="I300" s="60"/>
      <c r="J300" s="60"/>
      <c r="K300" s="60"/>
      <c r="L300" s="48"/>
      <c r="M300" s="60"/>
      <c r="N300" s="60"/>
      <c r="O300" s="48"/>
      <c r="P300" s="48"/>
      <c r="Q300" s="48"/>
    </row>
    <row r="301">
      <c r="A301" s="367"/>
      <c r="B301" s="389"/>
      <c r="C301" s="370"/>
      <c r="D301" s="388"/>
      <c r="E301" s="370"/>
      <c r="F301" s="60"/>
      <c r="G301" s="48"/>
      <c r="H301" s="60"/>
      <c r="I301" s="60"/>
      <c r="J301" s="60"/>
      <c r="K301" s="60"/>
      <c r="L301" s="48"/>
      <c r="M301" s="60"/>
      <c r="N301" s="60"/>
      <c r="O301" s="48"/>
      <c r="P301" s="48"/>
      <c r="Q301" s="48"/>
    </row>
    <row r="302">
      <c r="A302" s="392"/>
      <c r="B302" s="389"/>
      <c r="C302" s="370"/>
      <c r="D302" s="388"/>
      <c r="E302" s="370"/>
      <c r="F302" s="60"/>
      <c r="G302" s="48"/>
      <c r="H302" s="60"/>
      <c r="I302" s="60"/>
      <c r="J302" s="60"/>
      <c r="K302" s="60"/>
      <c r="L302" s="48"/>
      <c r="M302" s="60"/>
      <c r="N302" s="60"/>
      <c r="O302" s="48"/>
      <c r="P302" s="48"/>
      <c r="Q302" s="48"/>
    </row>
    <row r="303">
      <c r="A303" s="392"/>
      <c r="B303" s="389"/>
      <c r="C303" s="370"/>
      <c r="D303" s="388"/>
      <c r="E303" s="384"/>
      <c r="F303" s="60"/>
      <c r="G303" s="48"/>
      <c r="H303" s="60"/>
      <c r="I303" s="60"/>
      <c r="J303" s="60"/>
      <c r="K303" s="60"/>
      <c r="L303" s="48"/>
      <c r="M303" s="60"/>
      <c r="N303" s="60"/>
      <c r="O303" s="48"/>
      <c r="P303" s="48"/>
      <c r="Q303" s="48"/>
    </row>
    <row r="304">
      <c r="A304" s="367"/>
      <c r="B304" s="389"/>
      <c r="C304" s="370"/>
      <c r="D304" s="388"/>
      <c r="E304" s="383"/>
      <c r="F304" s="60"/>
      <c r="G304" s="48"/>
      <c r="H304" s="60"/>
      <c r="I304" s="60"/>
      <c r="J304" s="60"/>
      <c r="K304" s="60"/>
      <c r="L304" s="48"/>
      <c r="M304" s="60"/>
      <c r="N304" s="60"/>
      <c r="O304" s="48"/>
      <c r="P304" s="48"/>
      <c r="Q304" s="48"/>
    </row>
    <row r="305">
      <c r="A305" s="367"/>
      <c r="B305" s="389"/>
      <c r="C305" s="370"/>
      <c r="D305" s="388"/>
      <c r="E305" s="370"/>
      <c r="F305" s="60"/>
      <c r="G305" s="48"/>
      <c r="H305" s="60"/>
      <c r="I305" s="60"/>
      <c r="J305" s="60"/>
      <c r="K305" s="60"/>
      <c r="L305" s="48"/>
      <c r="M305" s="60"/>
      <c r="N305" s="60"/>
      <c r="O305" s="48"/>
      <c r="P305" s="48"/>
      <c r="Q305" s="48"/>
    </row>
    <row r="306">
      <c r="A306" s="392"/>
      <c r="B306" s="389"/>
      <c r="C306" s="370"/>
      <c r="D306" s="388"/>
      <c r="E306" s="384"/>
      <c r="F306" s="60"/>
      <c r="G306" s="48"/>
      <c r="H306" s="60"/>
      <c r="I306" s="60"/>
      <c r="J306" s="60"/>
      <c r="K306" s="60"/>
      <c r="L306" s="48"/>
      <c r="M306" s="60"/>
      <c r="N306" s="60"/>
      <c r="O306" s="48"/>
      <c r="P306" s="48"/>
      <c r="Q306" s="48"/>
    </row>
    <row r="307">
      <c r="A307" s="367"/>
      <c r="B307" s="389"/>
      <c r="C307" s="370"/>
      <c r="D307" s="388"/>
      <c r="E307" s="384"/>
      <c r="F307" s="60"/>
      <c r="G307" s="48"/>
      <c r="H307" s="60"/>
      <c r="I307" s="60"/>
      <c r="J307" s="60"/>
      <c r="K307" s="60"/>
      <c r="L307" s="48"/>
      <c r="M307" s="60"/>
      <c r="N307" s="60"/>
      <c r="O307" s="48"/>
      <c r="P307" s="48"/>
      <c r="Q307" s="48"/>
    </row>
    <row r="308">
      <c r="A308" s="392"/>
      <c r="B308" s="389"/>
      <c r="C308" s="370"/>
      <c r="D308" s="393"/>
      <c r="E308" s="384"/>
      <c r="F308" s="60"/>
      <c r="G308" s="48"/>
      <c r="H308" s="60"/>
      <c r="I308" s="60"/>
      <c r="J308" s="60"/>
      <c r="K308" s="60"/>
      <c r="L308" s="48"/>
      <c r="M308" s="60"/>
      <c r="N308" s="60"/>
      <c r="O308" s="48"/>
      <c r="P308" s="48"/>
      <c r="Q308" s="48"/>
    </row>
    <row r="309">
      <c r="A309" s="392"/>
      <c r="B309" s="389"/>
      <c r="C309" s="370"/>
      <c r="D309" s="388"/>
      <c r="E309" s="384"/>
      <c r="F309" s="60"/>
      <c r="G309" s="48"/>
      <c r="H309" s="60"/>
      <c r="I309" s="60"/>
      <c r="J309" s="60"/>
      <c r="K309" s="60"/>
      <c r="L309" s="48"/>
      <c r="M309" s="60"/>
      <c r="N309" s="60"/>
      <c r="O309" s="48"/>
      <c r="P309" s="48"/>
      <c r="Q309" s="48"/>
    </row>
    <row r="310">
      <c r="A310" s="367"/>
      <c r="B310" s="389"/>
      <c r="C310" s="370"/>
      <c r="D310" s="388"/>
      <c r="E310" s="370"/>
      <c r="F310" s="60"/>
      <c r="G310" s="48"/>
      <c r="H310" s="60"/>
      <c r="I310" s="60"/>
      <c r="J310" s="60"/>
      <c r="K310" s="60"/>
      <c r="L310" s="48"/>
      <c r="M310" s="60"/>
      <c r="N310" s="60"/>
      <c r="O310" s="48"/>
      <c r="P310" s="48"/>
      <c r="Q310" s="48"/>
    </row>
    <row r="311">
      <c r="A311" s="392"/>
      <c r="B311" s="389"/>
      <c r="C311" s="370"/>
      <c r="D311" s="388"/>
      <c r="E311" s="370"/>
      <c r="F311" s="60"/>
      <c r="G311" s="48"/>
      <c r="H311" s="60"/>
      <c r="I311" s="60"/>
      <c r="J311" s="60"/>
      <c r="K311" s="60"/>
      <c r="L311" s="48"/>
      <c r="M311" s="60"/>
      <c r="N311" s="60"/>
      <c r="O311" s="48"/>
      <c r="P311" s="48"/>
      <c r="Q311" s="48"/>
    </row>
    <row r="312">
      <c r="A312" s="392"/>
      <c r="B312" s="389"/>
      <c r="C312" s="370"/>
      <c r="D312" s="388"/>
      <c r="E312" s="384"/>
      <c r="F312" s="60"/>
      <c r="G312" s="48"/>
      <c r="H312" s="60"/>
      <c r="I312" s="60"/>
      <c r="J312" s="60"/>
      <c r="K312" s="60"/>
      <c r="L312" s="48"/>
      <c r="M312" s="60"/>
      <c r="N312" s="60"/>
      <c r="O312" s="48"/>
      <c r="P312" s="48"/>
      <c r="Q312" s="48"/>
    </row>
    <row r="313">
      <c r="A313" s="367"/>
      <c r="B313" s="389"/>
      <c r="C313" s="370"/>
      <c r="D313" s="388"/>
      <c r="E313" s="383"/>
      <c r="F313" s="60"/>
      <c r="G313" s="48"/>
      <c r="H313" s="60"/>
      <c r="I313" s="60"/>
      <c r="J313" s="60"/>
      <c r="K313" s="60"/>
      <c r="L313" s="48"/>
      <c r="M313" s="60"/>
      <c r="N313" s="60"/>
      <c r="O313" s="48"/>
      <c r="P313" s="48"/>
      <c r="Q313" s="48"/>
    </row>
    <row r="314">
      <c r="A314" s="392"/>
      <c r="B314" s="389"/>
      <c r="C314" s="370"/>
      <c r="D314" s="388"/>
      <c r="E314" s="384"/>
      <c r="F314" s="60"/>
      <c r="G314" s="48"/>
      <c r="H314" s="60"/>
      <c r="I314" s="60"/>
      <c r="J314" s="60"/>
      <c r="K314" s="60"/>
      <c r="L314" s="48"/>
      <c r="M314" s="60"/>
      <c r="N314" s="60"/>
      <c r="O314" s="48"/>
      <c r="P314" s="48"/>
      <c r="Q314" s="48"/>
    </row>
    <row r="315">
      <c r="A315" s="392"/>
      <c r="B315" s="389"/>
      <c r="C315" s="370"/>
      <c r="D315" s="388"/>
      <c r="E315" s="383"/>
      <c r="F315" s="60"/>
      <c r="G315" s="48"/>
      <c r="H315" s="60"/>
      <c r="I315" s="60"/>
      <c r="J315" s="60"/>
      <c r="K315" s="60"/>
      <c r="L315" s="48"/>
      <c r="M315" s="60"/>
      <c r="N315" s="60"/>
      <c r="O315" s="48"/>
      <c r="P315" s="48"/>
      <c r="Q315" s="48"/>
    </row>
    <row r="316">
      <c r="A316" s="392"/>
      <c r="B316" s="389"/>
      <c r="C316" s="370"/>
      <c r="D316" s="388"/>
      <c r="E316" s="384"/>
      <c r="F316" s="60"/>
      <c r="G316" s="48"/>
      <c r="H316" s="60"/>
      <c r="I316" s="60"/>
      <c r="J316" s="60"/>
      <c r="K316" s="60"/>
      <c r="L316" s="48"/>
      <c r="M316" s="60"/>
      <c r="N316" s="60"/>
      <c r="O316" s="48"/>
      <c r="P316" s="48"/>
      <c r="Q316" s="48"/>
    </row>
    <row r="317">
      <c r="A317" s="367"/>
      <c r="B317" s="389"/>
      <c r="C317" s="370"/>
      <c r="D317" s="388"/>
      <c r="E317" s="370"/>
      <c r="F317" s="60"/>
      <c r="G317" s="48"/>
      <c r="H317" s="60"/>
      <c r="I317" s="60"/>
      <c r="J317" s="60"/>
      <c r="K317" s="60"/>
      <c r="L317" s="48"/>
      <c r="M317" s="60"/>
      <c r="N317" s="60"/>
      <c r="O317" s="48"/>
      <c r="P317" s="48"/>
      <c r="Q317" s="48"/>
    </row>
    <row r="318">
      <c r="A318" s="367"/>
      <c r="B318" s="389"/>
      <c r="C318" s="370"/>
      <c r="D318" s="388"/>
      <c r="E318" s="370"/>
      <c r="F318" s="60"/>
      <c r="G318" s="48"/>
      <c r="H318" s="60"/>
      <c r="I318" s="60"/>
      <c r="J318" s="60"/>
      <c r="K318" s="60"/>
      <c r="L318" s="48"/>
      <c r="M318" s="60"/>
      <c r="N318" s="60"/>
      <c r="O318" s="48"/>
      <c r="P318" s="48"/>
      <c r="Q318" s="48"/>
    </row>
    <row r="319">
      <c r="A319" s="392"/>
      <c r="B319" s="389"/>
      <c r="C319" s="370"/>
      <c r="D319" s="388"/>
      <c r="E319" s="384"/>
      <c r="F319" s="60"/>
      <c r="G319" s="48"/>
      <c r="H319" s="60"/>
      <c r="I319" s="60"/>
      <c r="J319" s="60"/>
      <c r="K319" s="60"/>
      <c r="L319" s="48"/>
      <c r="M319" s="60"/>
      <c r="N319" s="60"/>
      <c r="O319" s="48"/>
      <c r="P319" s="48"/>
      <c r="Q319" s="48"/>
    </row>
    <row r="320">
      <c r="A320" s="392"/>
      <c r="B320" s="389"/>
      <c r="C320" s="370"/>
      <c r="D320" s="388"/>
      <c r="E320" s="383"/>
      <c r="F320" s="60"/>
      <c r="G320" s="48"/>
      <c r="H320" s="60"/>
      <c r="I320" s="60"/>
      <c r="J320" s="60"/>
      <c r="K320" s="60"/>
      <c r="L320" s="48"/>
      <c r="M320" s="60"/>
      <c r="N320" s="60"/>
      <c r="O320" s="48"/>
      <c r="P320" s="48"/>
      <c r="Q320" s="48"/>
    </row>
    <row r="321">
      <c r="A321" s="392"/>
      <c r="B321" s="389"/>
      <c r="C321" s="370"/>
      <c r="D321" s="388"/>
      <c r="E321" s="370"/>
      <c r="F321" s="60"/>
      <c r="G321" s="48"/>
      <c r="H321" s="60"/>
      <c r="I321" s="60"/>
      <c r="J321" s="60"/>
      <c r="K321" s="60"/>
      <c r="L321" s="48"/>
      <c r="M321" s="60"/>
      <c r="N321" s="60"/>
      <c r="O321" s="48"/>
      <c r="P321" s="48"/>
      <c r="Q321" s="48"/>
    </row>
    <row r="322">
      <c r="A322" s="367"/>
      <c r="B322" s="389"/>
      <c r="C322" s="370"/>
      <c r="D322" s="388"/>
      <c r="E322" s="370"/>
      <c r="F322" s="60"/>
      <c r="G322" s="48"/>
      <c r="H322" s="60"/>
      <c r="I322" s="60"/>
      <c r="J322" s="60"/>
      <c r="K322" s="60"/>
      <c r="L322" s="48"/>
      <c r="M322" s="60"/>
      <c r="N322" s="60"/>
      <c r="O322" s="48"/>
      <c r="P322" s="48"/>
      <c r="Q322" s="48"/>
    </row>
    <row r="323">
      <c r="A323" s="367"/>
      <c r="B323" s="389"/>
      <c r="C323" s="370"/>
      <c r="D323" s="388"/>
      <c r="E323" s="370"/>
      <c r="F323" s="60"/>
      <c r="G323" s="48"/>
      <c r="H323" s="60"/>
      <c r="I323" s="60"/>
      <c r="J323" s="60"/>
      <c r="K323" s="60"/>
      <c r="L323" s="48"/>
      <c r="M323" s="60"/>
      <c r="N323" s="60"/>
      <c r="O323" s="48"/>
      <c r="P323" s="48"/>
      <c r="Q323" s="48"/>
    </row>
    <row r="324">
      <c r="A324" s="367"/>
      <c r="B324" s="389"/>
      <c r="C324" s="370"/>
      <c r="D324" s="393"/>
      <c r="E324" s="370"/>
      <c r="F324" s="60"/>
      <c r="G324" s="48"/>
      <c r="H324" s="60"/>
      <c r="I324" s="60"/>
      <c r="J324" s="60"/>
      <c r="K324" s="60"/>
      <c r="L324" s="48"/>
      <c r="M324" s="60"/>
      <c r="N324" s="60"/>
      <c r="O324" s="48"/>
      <c r="P324" s="48"/>
      <c r="Q324" s="48"/>
    </row>
    <row r="325">
      <c r="A325" s="367"/>
      <c r="B325" s="389"/>
      <c r="C325" s="370"/>
      <c r="D325" s="388"/>
      <c r="E325" s="384"/>
      <c r="F325" s="60"/>
      <c r="G325" s="48"/>
      <c r="H325" s="60"/>
      <c r="I325" s="60"/>
      <c r="J325" s="60"/>
      <c r="K325" s="60"/>
      <c r="L325" s="48"/>
      <c r="M325" s="60"/>
      <c r="N325" s="60"/>
      <c r="O325" s="48"/>
      <c r="P325" s="48"/>
      <c r="Q325" s="48"/>
    </row>
    <row r="326">
      <c r="A326" s="367"/>
      <c r="B326" s="389"/>
      <c r="C326" s="370"/>
      <c r="D326" s="388"/>
      <c r="E326" s="370"/>
      <c r="F326" s="60"/>
      <c r="G326" s="48"/>
      <c r="H326" s="60"/>
      <c r="I326" s="60"/>
      <c r="J326" s="60"/>
      <c r="K326" s="60"/>
      <c r="L326" s="48"/>
      <c r="M326" s="60"/>
      <c r="N326" s="60"/>
      <c r="O326" s="48"/>
      <c r="P326" s="48"/>
      <c r="Q326" s="48"/>
    </row>
    <row r="327">
      <c r="A327" s="367"/>
      <c r="B327" s="389"/>
      <c r="C327" s="370"/>
      <c r="D327" s="388"/>
      <c r="E327" s="384"/>
      <c r="F327" s="60"/>
      <c r="G327" s="48"/>
      <c r="H327" s="60"/>
      <c r="I327" s="60"/>
      <c r="J327" s="60"/>
      <c r="K327" s="60"/>
      <c r="L327" s="48"/>
      <c r="M327" s="60"/>
      <c r="N327" s="60"/>
      <c r="O327" s="48"/>
      <c r="P327" s="48"/>
      <c r="Q327" s="48"/>
    </row>
    <row r="328">
      <c r="A328" s="367"/>
      <c r="B328" s="389"/>
      <c r="C328" s="370"/>
      <c r="D328" s="388"/>
      <c r="E328" s="370"/>
      <c r="F328" s="60"/>
      <c r="G328" s="48"/>
      <c r="H328" s="60"/>
      <c r="I328" s="60"/>
      <c r="J328" s="60"/>
      <c r="K328" s="60"/>
      <c r="L328" s="48"/>
      <c r="M328" s="60"/>
      <c r="N328" s="60"/>
      <c r="O328" s="48"/>
      <c r="P328" s="48"/>
      <c r="Q328" s="48"/>
    </row>
    <row r="329">
      <c r="A329" s="367"/>
      <c r="B329" s="389"/>
      <c r="C329" s="370"/>
      <c r="D329" s="388"/>
      <c r="E329" s="370"/>
      <c r="F329" s="60"/>
      <c r="G329" s="48"/>
      <c r="H329" s="60"/>
      <c r="I329" s="60"/>
      <c r="J329" s="60"/>
      <c r="K329" s="60"/>
      <c r="L329" s="48"/>
      <c r="M329" s="60"/>
      <c r="N329" s="60"/>
      <c r="O329" s="48"/>
      <c r="P329" s="48"/>
      <c r="Q329" s="48"/>
    </row>
    <row r="330">
      <c r="A330" s="392"/>
      <c r="B330" s="389"/>
      <c r="C330" s="370"/>
      <c r="D330" s="388"/>
      <c r="E330" s="383"/>
      <c r="F330" s="60"/>
      <c r="G330" s="48"/>
      <c r="H330" s="60"/>
      <c r="I330" s="60"/>
      <c r="J330" s="60"/>
      <c r="K330" s="60"/>
      <c r="L330" s="48"/>
      <c r="M330" s="60"/>
      <c r="N330" s="60"/>
      <c r="O330" s="48"/>
      <c r="P330" s="48"/>
      <c r="Q330" s="48"/>
    </row>
    <row r="331">
      <c r="A331" s="392"/>
      <c r="B331" s="389"/>
      <c r="C331" s="370"/>
      <c r="D331" s="388"/>
      <c r="E331" s="370"/>
      <c r="F331" s="60"/>
      <c r="G331" s="48"/>
      <c r="H331" s="60"/>
      <c r="I331" s="60"/>
      <c r="J331" s="60"/>
      <c r="K331" s="60"/>
      <c r="L331" s="48"/>
      <c r="M331" s="60"/>
      <c r="N331" s="60"/>
      <c r="O331" s="48"/>
      <c r="P331" s="48"/>
      <c r="Q331" s="48"/>
    </row>
    <row r="332">
      <c r="A332" s="367"/>
      <c r="B332" s="389"/>
      <c r="C332" s="370"/>
      <c r="D332" s="388"/>
      <c r="E332" s="370"/>
      <c r="F332" s="60"/>
      <c r="G332" s="48"/>
      <c r="H332" s="60"/>
      <c r="I332" s="60"/>
      <c r="J332" s="60"/>
      <c r="K332" s="60"/>
      <c r="L332" s="48"/>
      <c r="M332" s="60"/>
      <c r="N332" s="60"/>
      <c r="O332" s="48"/>
      <c r="P332" s="48"/>
      <c r="Q332" s="48"/>
    </row>
    <row r="333">
      <c r="A333" s="392"/>
      <c r="B333" s="389"/>
      <c r="C333" s="370"/>
      <c r="D333" s="388"/>
      <c r="E333" s="384"/>
      <c r="F333" s="60"/>
      <c r="G333" s="48"/>
      <c r="H333" s="60"/>
      <c r="I333" s="60"/>
      <c r="J333" s="60"/>
      <c r="K333" s="60"/>
      <c r="L333" s="48"/>
      <c r="M333" s="60"/>
      <c r="N333" s="60"/>
      <c r="O333" s="48"/>
      <c r="P333" s="48"/>
      <c r="Q333" s="48"/>
    </row>
    <row r="334">
      <c r="A334" s="392"/>
      <c r="B334" s="389"/>
      <c r="C334" s="370"/>
      <c r="D334" s="388"/>
      <c r="E334" s="383"/>
      <c r="F334" s="60"/>
      <c r="G334" s="48"/>
      <c r="H334" s="60"/>
      <c r="I334" s="60"/>
      <c r="J334" s="60"/>
      <c r="K334" s="60"/>
      <c r="L334" s="48"/>
      <c r="M334" s="60"/>
      <c r="N334" s="60"/>
      <c r="O334" s="48"/>
      <c r="P334" s="48"/>
      <c r="Q334" s="48"/>
    </row>
    <row r="335">
      <c r="A335" s="392"/>
      <c r="B335" s="389"/>
      <c r="C335" s="370"/>
      <c r="D335" s="388"/>
      <c r="E335" s="370"/>
      <c r="F335" s="60"/>
      <c r="G335" s="48"/>
      <c r="H335" s="60"/>
      <c r="I335" s="60"/>
      <c r="J335" s="60"/>
      <c r="K335" s="60"/>
      <c r="L335" s="48"/>
      <c r="M335" s="60"/>
      <c r="N335" s="60"/>
      <c r="O335" s="48"/>
      <c r="P335" s="48"/>
      <c r="Q335" s="48"/>
    </row>
    <row r="336">
      <c r="A336" s="360"/>
      <c r="B336" s="360"/>
      <c r="C336" s="361"/>
      <c r="D336" s="360"/>
      <c r="E336" s="362"/>
      <c r="F336" s="60"/>
      <c r="G336" s="48"/>
      <c r="H336" s="60"/>
      <c r="I336" s="60"/>
      <c r="J336" s="60"/>
      <c r="K336" s="60"/>
      <c r="L336" s="48"/>
      <c r="M336" s="60"/>
      <c r="N336" s="60"/>
      <c r="O336" s="48"/>
      <c r="P336" s="48"/>
      <c r="Q336" s="48"/>
    </row>
    <row r="337">
      <c r="A337" s="367"/>
      <c r="B337" s="389"/>
      <c r="C337" s="370"/>
      <c r="D337" s="388"/>
      <c r="E337" s="370"/>
      <c r="F337" s="60"/>
      <c r="G337" s="48"/>
      <c r="H337" s="60"/>
      <c r="I337" s="60"/>
      <c r="J337" s="60"/>
      <c r="K337" s="60"/>
      <c r="L337" s="48"/>
      <c r="M337" s="60"/>
      <c r="N337" s="60"/>
      <c r="O337" s="48"/>
      <c r="P337" s="48"/>
      <c r="Q337" s="48"/>
    </row>
    <row r="338">
      <c r="A338" s="367"/>
      <c r="B338" s="389"/>
      <c r="C338" s="370"/>
      <c r="D338" s="393"/>
      <c r="E338" s="370"/>
      <c r="F338" s="60"/>
      <c r="G338" s="48"/>
      <c r="H338" s="60"/>
      <c r="I338" s="60"/>
      <c r="J338" s="60"/>
      <c r="K338" s="60"/>
      <c r="L338" s="48"/>
      <c r="M338" s="60"/>
      <c r="N338" s="60"/>
      <c r="O338" s="48"/>
      <c r="P338" s="48"/>
      <c r="Q338" s="48"/>
    </row>
    <row r="339">
      <c r="A339" s="367"/>
      <c r="B339" s="389"/>
      <c r="C339" s="370"/>
      <c r="D339" s="388"/>
      <c r="E339" s="370"/>
      <c r="F339" s="60"/>
      <c r="G339" s="48"/>
      <c r="H339" s="60"/>
      <c r="I339" s="60"/>
      <c r="J339" s="60"/>
      <c r="K339" s="60"/>
      <c r="L339" s="48"/>
      <c r="M339" s="60"/>
      <c r="N339" s="60"/>
      <c r="O339" s="48"/>
      <c r="P339" s="48"/>
      <c r="Q339" s="48"/>
    </row>
    <row r="340">
      <c r="A340" s="367"/>
      <c r="B340" s="389"/>
      <c r="C340" s="370"/>
      <c r="D340" s="388"/>
      <c r="E340" s="370"/>
      <c r="F340" s="60"/>
      <c r="G340" s="48"/>
      <c r="H340" s="60"/>
      <c r="I340" s="60"/>
      <c r="J340" s="60"/>
      <c r="K340" s="60"/>
      <c r="L340" s="48"/>
      <c r="M340" s="60"/>
      <c r="N340" s="60"/>
      <c r="O340" s="48"/>
      <c r="P340" s="48"/>
      <c r="Q340" s="48"/>
    </row>
    <row r="341">
      <c r="A341" s="367"/>
      <c r="B341" s="389"/>
      <c r="C341" s="370"/>
      <c r="D341" s="388"/>
      <c r="E341" s="370"/>
      <c r="F341" s="60"/>
      <c r="G341" s="48"/>
      <c r="H341" s="60"/>
      <c r="I341" s="60"/>
      <c r="J341" s="60"/>
      <c r="K341" s="60"/>
      <c r="L341" s="48"/>
      <c r="M341" s="60"/>
      <c r="N341" s="60"/>
      <c r="O341" s="48"/>
      <c r="P341" s="48"/>
      <c r="Q341" s="48"/>
    </row>
    <row r="342">
      <c r="A342" s="367"/>
      <c r="B342" s="389"/>
      <c r="C342" s="370"/>
      <c r="D342" s="388"/>
      <c r="E342" s="370"/>
      <c r="F342" s="60"/>
      <c r="G342" s="48"/>
      <c r="H342" s="60"/>
      <c r="I342" s="60"/>
      <c r="J342" s="60"/>
      <c r="K342" s="60"/>
      <c r="L342" s="48"/>
      <c r="M342" s="60"/>
      <c r="N342" s="60"/>
      <c r="O342" s="48"/>
      <c r="P342" s="48"/>
      <c r="Q342" s="48"/>
    </row>
    <row r="343">
      <c r="A343" s="392"/>
      <c r="B343" s="389"/>
      <c r="C343" s="370"/>
      <c r="D343" s="388"/>
      <c r="E343" s="370"/>
      <c r="F343" s="60"/>
      <c r="G343" s="48"/>
      <c r="H343" s="60"/>
      <c r="I343" s="60"/>
      <c r="J343" s="60"/>
      <c r="K343" s="60"/>
      <c r="L343" s="48"/>
      <c r="M343" s="60"/>
      <c r="N343" s="60"/>
      <c r="O343" s="48"/>
      <c r="P343" s="48"/>
      <c r="Q343" s="48"/>
    </row>
    <row r="344">
      <c r="A344" s="392"/>
      <c r="B344" s="389"/>
      <c r="C344" s="370"/>
      <c r="D344" s="388"/>
      <c r="E344" s="384"/>
      <c r="F344" s="60"/>
      <c r="G344" s="48"/>
      <c r="H344" s="60"/>
      <c r="I344" s="60"/>
      <c r="J344" s="60"/>
      <c r="K344" s="60"/>
      <c r="L344" s="48"/>
      <c r="M344" s="60"/>
      <c r="N344" s="60"/>
      <c r="O344" s="48"/>
      <c r="P344" s="48"/>
      <c r="Q344" s="48"/>
    </row>
    <row r="345">
      <c r="A345" s="367"/>
      <c r="B345" s="389"/>
      <c r="C345" s="370"/>
      <c r="D345" s="388"/>
      <c r="E345" s="383"/>
      <c r="F345" s="60"/>
      <c r="G345" s="48"/>
      <c r="H345" s="60"/>
      <c r="I345" s="60"/>
      <c r="J345" s="60"/>
      <c r="K345" s="60"/>
      <c r="L345" s="48"/>
      <c r="M345" s="60"/>
      <c r="N345" s="60"/>
      <c r="O345" s="48"/>
      <c r="P345" s="48"/>
      <c r="Q345" s="48"/>
    </row>
    <row r="346">
      <c r="A346" s="367"/>
      <c r="B346" s="389"/>
      <c r="C346" s="370"/>
      <c r="D346" s="388"/>
      <c r="E346" s="370"/>
      <c r="F346" s="60"/>
      <c r="G346" s="48"/>
      <c r="H346" s="60"/>
      <c r="I346" s="60"/>
      <c r="J346" s="60"/>
      <c r="K346" s="60"/>
      <c r="L346" s="48"/>
      <c r="M346" s="60"/>
      <c r="N346" s="60"/>
      <c r="O346" s="48"/>
      <c r="P346" s="48"/>
      <c r="Q346" s="48"/>
    </row>
    <row r="347">
      <c r="A347" s="392"/>
      <c r="B347" s="389"/>
      <c r="C347" s="370"/>
      <c r="D347" s="388"/>
      <c r="E347" s="384"/>
      <c r="F347" s="60"/>
      <c r="G347" s="48"/>
      <c r="H347" s="60"/>
      <c r="I347" s="60"/>
      <c r="J347" s="60"/>
      <c r="K347" s="60"/>
      <c r="L347" s="48"/>
      <c r="M347" s="60"/>
      <c r="N347" s="60"/>
      <c r="O347" s="48"/>
      <c r="P347" s="48"/>
      <c r="Q347" s="48"/>
    </row>
    <row r="348">
      <c r="A348" s="367"/>
      <c r="B348" s="389"/>
      <c r="C348" s="370"/>
      <c r="D348" s="388"/>
      <c r="E348" s="384"/>
      <c r="F348" s="60"/>
      <c r="G348" s="48"/>
      <c r="H348" s="60"/>
      <c r="I348" s="60"/>
      <c r="J348" s="60"/>
      <c r="K348" s="60"/>
      <c r="L348" s="48"/>
      <c r="M348" s="60"/>
      <c r="N348" s="60"/>
      <c r="O348" s="48"/>
      <c r="P348" s="48"/>
      <c r="Q348" s="48"/>
    </row>
    <row r="349">
      <c r="A349" s="392"/>
      <c r="B349" s="389"/>
      <c r="C349" s="370"/>
      <c r="D349" s="393"/>
      <c r="E349" s="384"/>
      <c r="F349" s="60"/>
      <c r="G349" s="48"/>
      <c r="H349" s="60"/>
      <c r="I349" s="60"/>
      <c r="J349" s="60"/>
      <c r="K349" s="60"/>
      <c r="L349" s="48"/>
      <c r="M349" s="60"/>
      <c r="N349" s="60"/>
      <c r="O349" s="48"/>
      <c r="P349" s="48"/>
      <c r="Q349" s="48"/>
    </row>
    <row r="350">
      <c r="A350" s="392"/>
      <c r="B350" s="389"/>
      <c r="C350" s="370"/>
      <c r="D350" s="388"/>
      <c r="E350" s="384"/>
      <c r="F350" s="60"/>
      <c r="G350" s="48"/>
      <c r="H350" s="60"/>
      <c r="I350" s="60"/>
      <c r="J350" s="60"/>
      <c r="K350" s="60"/>
      <c r="L350" s="48"/>
      <c r="M350" s="60"/>
      <c r="N350" s="60"/>
      <c r="O350" s="48"/>
      <c r="P350" s="48"/>
      <c r="Q350" s="48"/>
    </row>
    <row r="351">
      <c r="A351" s="367"/>
      <c r="B351" s="389"/>
      <c r="C351" s="370"/>
      <c r="D351" s="388"/>
      <c r="E351" s="370"/>
      <c r="F351" s="60"/>
      <c r="G351" s="48"/>
      <c r="H351" s="60"/>
      <c r="I351" s="60"/>
      <c r="J351" s="60"/>
      <c r="K351" s="60"/>
      <c r="L351" s="48"/>
      <c r="M351" s="60"/>
      <c r="N351" s="60"/>
      <c r="O351" s="48"/>
      <c r="P351" s="48"/>
      <c r="Q351" s="48"/>
    </row>
    <row r="352">
      <c r="A352" s="392"/>
      <c r="B352" s="389"/>
      <c r="C352" s="370"/>
      <c r="D352" s="388"/>
      <c r="E352" s="370"/>
      <c r="F352" s="60"/>
      <c r="G352" s="48"/>
      <c r="H352" s="60"/>
      <c r="I352" s="60"/>
      <c r="J352" s="60"/>
      <c r="K352" s="60"/>
      <c r="L352" s="48"/>
      <c r="M352" s="60"/>
      <c r="N352" s="60"/>
      <c r="O352" s="48"/>
      <c r="P352" s="48"/>
      <c r="Q352" s="48"/>
    </row>
    <row r="353">
      <c r="A353" s="392"/>
      <c r="B353" s="389"/>
      <c r="C353" s="370"/>
      <c r="D353" s="388"/>
      <c r="E353" s="384"/>
      <c r="F353" s="60"/>
      <c r="G353" s="48"/>
      <c r="H353" s="60"/>
      <c r="I353" s="60"/>
      <c r="J353" s="60"/>
      <c r="K353" s="60"/>
      <c r="L353" s="48"/>
      <c r="M353" s="60"/>
      <c r="N353" s="60"/>
      <c r="O353" s="48"/>
      <c r="P353" s="48"/>
      <c r="Q353" s="48"/>
    </row>
    <row r="354">
      <c r="A354" s="367"/>
      <c r="B354" s="389"/>
      <c r="C354" s="370"/>
      <c r="D354" s="388"/>
      <c r="E354" s="383"/>
      <c r="F354" s="60"/>
      <c r="G354" s="48"/>
      <c r="H354" s="60"/>
      <c r="I354" s="60"/>
      <c r="J354" s="60"/>
      <c r="K354" s="60"/>
      <c r="L354" s="48"/>
      <c r="M354" s="60"/>
      <c r="N354" s="60"/>
      <c r="O354" s="48"/>
      <c r="P354" s="48"/>
      <c r="Q354" s="48"/>
    </row>
    <row r="355">
      <c r="A355" s="392"/>
      <c r="B355" s="389"/>
      <c r="C355" s="370"/>
      <c r="D355" s="388"/>
      <c r="E355" s="384"/>
      <c r="F355" s="60"/>
      <c r="G355" s="48"/>
      <c r="H355" s="60"/>
      <c r="I355" s="60"/>
      <c r="J355" s="60"/>
      <c r="K355" s="60"/>
      <c r="L355" s="48"/>
      <c r="M355" s="60"/>
      <c r="N355" s="60"/>
      <c r="O355" s="48"/>
      <c r="P355" s="48"/>
      <c r="Q355" s="48"/>
    </row>
    <row r="356">
      <c r="A356" s="392"/>
      <c r="B356" s="389"/>
      <c r="C356" s="370"/>
      <c r="D356" s="388"/>
      <c r="E356" s="383"/>
      <c r="F356" s="60"/>
      <c r="G356" s="48"/>
      <c r="H356" s="60"/>
      <c r="I356" s="60"/>
      <c r="J356" s="60"/>
      <c r="K356" s="60"/>
      <c r="L356" s="48"/>
      <c r="M356" s="60"/>
      <c r="N356" s="60"/>
      <c r="O356" s="48"/>
      <c r="P356" s="48"/>
      <c r="Q356" s="48"/>
    </row>
    <row r="357">
      <c r="A357" s="392"/>
      <c r="B357" s="389"/>
      <c r="C357" s="370"/>
      <c r="D357" s="388"/>
      <c r="E357" s="384"/>
      <c r="F357" s="60"/>
      <c r="G357" s="48"/>
      <c r="H357" s="60"/>
      <c r="I357" s="60"/>
      <c r="J357" s="60"/>
      <c r="K357" s="60"/>
      <c r="L357" s="48"/>
      <c r="M357" s="60"/>
      <c r="N357" s="60"/>
      <c r="O357" s="48"/>
      <c r="P357" s="48"/>
      <c r="Q357" s="48"/>
    </row>
    <row r="358">
      <c r="A358" s="367"/>
      <c r="B358" s="389"/>
      <c r="C358" s="370"/>
      <c r="D358" s="388"/>
      <c r="E358" s="370"/>
      <c r="F358" s="60"/>
      <c r="G358" s="48"/>
      <c r="H358" s="60"/>
      <c r="I358" s="60"/>
      <c r="J358" s="60"/>
      <c r="K358" s="60"/>
      <c r="L358" s="48"/>
      <c r="M358" s="60"/>
      <c r="N358" s="60"/>
      <c r="O358" s="48"/>
      <c r="P358" s="48"/>
      <c r="Q358" s="48"/>
    </row>
    <row r="359">
      <c r="A359" s="367"/>
      <c r="B359" s="389"/>
      <c r="C359" s="370"/>
      <c r="D359" s="388"/>
      <c r="E359" s="370"/>
      <c r="F359" s="60"/>
      <c r="G359" s="48"/>
      <c r="H359" s="60"/>
      <c r="I359" s="60"/>
      <c r="J359" s="60"/>
      <c r="K359" s="60"/>
      <c r="L359" s="48"/>
      <c r="M359" s="60"/>
      <c r="N359" s="60"/>
      <c r="O359" s="48"/>
      <c r="P359" s="48"/>
      <c r="Q359" s="48"/>
    </row>
    <row r="360">
      <c r="A360" s="392"/>
      <c r="B360" s="389"/>
      <c r="C360" s="370"/>
      <c r="D360" s="388"/>
      <c r="E360" s="384"/>
      <c r="F360" s="60"/>
      <c r="G360" s="48"/>
      <c r="H360" s="60"/>
      <c r="I360" s="60"/>
      <c r="J360" s="60"/>
      <c r="K360" s="60"/>
      <c r="L360" s="48"/>
      <c r="M360" s="60"/>
      <c r="N360" s="60"/>
      <c r="O360" s="48"/>
      <c r="P360" s="48"/>
      <c r="Q360" s="48"/>
    </row>
    <row r="361">
      <c r="A361" s="392"/>
      <c r="B361" s="389"/>
      <c r="C361" s="370"/>
      <c r="D361" s="388"/>
      <c r="E361" s="383"/>
      <c r="F361" s="60"/>
      <c r="G361" s="48"/>
      <c r="H361" s="60"/>
      <c r="I361" s="60"/>
      <c r="J361" s="60"/>
      <c r="K361" s="60"/>
      <c r="L361" s="48"/>
      <c r="M361" s="60"/>
      <c r="N361" s="60"/>
      <c r="O361" s="48"/>
      <c r="P361" s="48"/>
      <c r="Q361" s="48"/>
    </row>
    <row r="362">
      <c r="A362" s="392"/>
      <c r="B362" s="389"/>
      <c r="C362" s="370"/>
      <c r="D362" s="388"/>
      <c r="E362" s="370"/>
      <c r="F362" s="60"/>
      <c r="G362" s="48"/>
      <c r="H362" s="60"/>
      <c r="I362" s="60"/>
      <c r="J362" s="60"/>
      <c r="K362" s="60"/>
      <c r="L362" s="48"/>
      <c r="M362" s="60"/>
      <c r="N362" s="60"/>
      <c r="O362" s="48"/>
      <c r="P362" s="48"/>
      <c r="Q362" s="48"/>
    </row>
    <row r="363">
      <c r="A363" s="367"/>
      <c r="B363" s="389"/>
      <c r="C363" s="370"/>
      <c r="D363" s="388"/>
      <c r="E363" s="370"/>
      <c r="F363" s="60"/>
      <c r="G363" s="48"/>
      <c r="H363" s="60"/>
      <c r="I363" s="60"/>
      <c r="J363" s="60"/>
      <c r="K363" s="60"/>
      <c r="L363" s="48"/>
      <c r="M363" s="60"/>
      <c r="N363" s="60"/>
      <c r="O363" s="48"/>
      <c r="P363" s="48"/>
      <c r="Q363" s="48"/>
    </row>
    <row r="364">
      <c r="A364" s="367"/>
      <c r="B364" s="389"/>
      <c r="C364" s="370"/>
      <c r="D364" s="388"/>
      <c r="E364" s="370"/>
      <c r="F364" s="60"/>
      <c r="G364" s="48"/>
      <c r="H364" s="60"/>
      <c r="I364" s="60"/>
      <c r="J364" s="60"/>
      <c r="K364" s="60"/>
      <c r="L364" s="48"/>
      <c r="M364" s="60"/>
      <c r="N364" s="60"/>
      <c r="O364" s="48"/>
      <c r="P364" s="48"/>
      <c r="Q364" s="48"/>
    </row>
    <row r="365">
      <c r="A365" s="367"/>
      <c r="B365" s="389"/>
      <c r="C365" s="370"/>
      <c r="D365" s="393"/>
      <c r="E365" s="370"/>
      <c r="F365" s="60"/>
      <c r="G365" s="48"/>
      <c r="H365" s="60"/>
      <c r="I365" s="60"/>
      <c r="J365" s="60"/>
      <c r="K365" s="60"/>
      <c r="L365" s="48"/>
      <c r="M365" s="60"/>
      <c r="N365" s="60"/>
      <c r="O365" s="48"/>
      <c r="P365" s="48"/>
      <c r="Q365" s="48"/>
    </row>
    <row r="366">
      <c r="A366" s="367"/>
      <c r="B366" s="389"/>
      <c r="C366" s="370"/>
      <c r="D366" s="388"/>
      <c r="E366" s="384"/>
      <c r="F366" s="60"/>
      <c r="G366" s="48"/>
      <c r="H366" s="60"/>
      <c r="I366" s="60"/>
      <c r="J366" s="60"/>
      <c r="K366" s="60"/>
      <c r="L366" s="48"/>
      <c r="M366" s="60"/>
      <c r="N366" s="60"/>
      <c r="O366" s="48"/>
      <c r="P366" s="48"/>
      <c r="Q366" s="48"/>
    </row>
    <row r="367">
      <c r="A367" s="367"/>
      <c r="B367" s="389"/>
      <c r="C367" s="370"/>
      <c r="D367" s="388"/>
      <c r="E367" s="370"/>
      <c r="F367" s="60"/>
      <c r="G367" s="48"/>
      <c r="H367" s="60"/>
      <c r="I367" s="60"/>
      <c r="J367" s="60"/>
      <c r="K367" s="60"/>
      <c r="L367" s="48"/>
      <c r="M367" s="60"/>
      <c r="N367" s="60"/>
      <c r="O367" s="48"/>
      <c r="P367" s="48"/>
      <c r="Q367" s="48"/>
    </row>
    <row r="368">
      <c r="A368" s="367"/>
      <c r="B368" s="389"/>
      <c r="C368" s="370"/>
      <c r="D368" s="388"/>
      <c r="E368" s="384"/>
      <c r="F368" s="60"/>
      <c r="G368" s="48"/>
      <c r="H368" s="60"/>
      <c r="I368" s="60"/>
      <c r="J368" s="60"/>
      <c r="K368" s="60"/>
      <c r="L368" s="48"/>
      <c r="M368" s="60"/>
      <c r="N368" s="60"/>
      <c r="O368" s="48"/>
      <c r="P368" s="48"/>
      <c r="Q368" s="48"/>
    </row>
    <row r="369">
      <c r="A369" s="367"/>
      <c r="B369" s="389"/>
      <c r="C369" s="370"/>
      <c r="D369" s="388"/>
      <c r="E369" s="370"/>
      <c r="F369" s="60"/>
      <c r="G369" s="48"/>
      <c r="H369" s="60"/>
      <c r="I369" s="60"/>
      <c r="J369" s="60"/>
      <c r="K369" s="60"/>
      <c r="L369" s="48"/>
      <c r="M369" s="60"/>
      <c r="N369" s="60"/>
      <c r="O369" s="48"/>
      <c r="P369" s="48"/>
      <c r="Q369" s="48"/>
    </row>
    <row r="370">
      <c r="A370" s="367"/>
      <c r="B370" s="389"/>
      <c r="C370" s="370"/>
      <c r="D370" s="388"/>
      <c r="E370" s="370"/>
      <c r="F370" s="60"/>
      <c r="G370" s="48"/>
      <c r="H370" s="60"/>
      <c r="I370" s="60"/>
      <c r="J370" s="60"/>
      <c r="K370" s="60"/>
      <c r="L370" s="48"/>
      <c r="M370" s="60"/>
      <c r="N370" s="60"/>
      <c r="O370" s="48"/>
      <c r="P370" s="48"/>
      <c r="Q370" s="48"/>
    </row>
    <row r="371">
      <c r="A371" s="392"/>
      <c r="B371" s="389"/>
      <c r="C371" s="370"/>
      <c r="D371" s="388"/>
      <c r="E371" s="383"/>
      <c r="F371" s="60"/>
      <c r="G371" s="48"/>
      <c r="H371" s="60"/>
      <c r="I371" s="60"/>
      <c r="J371" s="60"/>
      <c r="K371" s="60"/>
      <c r="L371" s="48"/>
      <c r="M371" s="60"/>
      <c r="N371" s="60"/>
      <c r="O371" s="48"/>
      <c r="P371" s="48"/>
      <c r="Q371" s="48"/>
    </row>
    <row r="372">
      <c r="A372" s="392"/>
      <c r="B372" s="389"/>
      <c r="C372" s="370"/>
      <c r="D372" s="388"/>
      <c r="E372" s="370"/>
      <c r="F372" s="60"/>
      <c r="G372" s="48"/>
      <c r="H372" s="60"/>
      <c r="I372" s="60"/>
      <c r="J372" s="60"/>
      <c r="K372" s="60"/>
      <c r="L372" s="48"/>
      <c r="M372" s="60"/>
      <c r="N372" s="60"/>
      <c r="O372" s="48"/>
      <c r="P372" s="48"/>
      <c r="Q372" s="48"/>
    </row>
    <row r="373">
      <c r="A373" s="367"/>
      <c r="B373" s="389"/>
      <c r="C373" s="370"/>
      <c r="D373" s="388"/>
      <c r="E373" s="370"/>
      <c r="F373" s="60"/>
      <c r="G373" s="48"/>
      <c r="H373" s="60"/>
      <c r="I373" s="60"/>
      <c r="J373" s="60"/>
      <c r="K373" s="60"/>
      <c r="L373" s="48"/>
      <c r="M373" s="60"/>
      <c r="N373" s="60"/>
      <c r="O373" s="48"/>
      <c r="P373" s="48"/>
      <c r="Q373" s="48"/>
    </row>
    <row r="374">
      <c r="A374" s="392"/>
      <c r="B374" s="389"/>
      <c r="C374" s="370"/>
      <c r="D374" s="388"/>
      <c r="E374" s="384"/>
      <c r="F374" s="60"/>
      <c r="G374" s="48"/>
      <c r="H374" s="60"/>
      <c r="I374" s="60"/>
      <c r="J374" s="60"/>
      <c r="K374" s="60"/>
      <c r="L374" s="48"/>
      <c r="M374" s="60"/>
      <c r="N374" s="60"/>
      <c r="O374" s="48"/>
      <c r="P374" s="48"/>
      <c r="Q374" s="48"/>
    </row>
    <row r="375">
      <c r="A375" s="392"/>
      <c r="B375" s="389"/>
      <c r="C375" s="370"/>
      <c r="D375" s="388"/>
      <c r="E375" s="383"/>
      <c r="F375" s="60"/>
      <c r="G375" s="48"/>
      <c r="H375" s="60"/>
      <c r="I375" s="60"/>
      <c r="J375" s="60"/>
      <c r="K375" s="60"/>
      <c r="L375" s="48"/>
      <c r="M375" s="60"/>
      <c r="N375" s="60"/>
      <c r="O375" s="48"/>
      <c r="P375" s="48"/>
      <c r="Q375" s="48"/>
    </row>
    <row r="376">
      <c r="A376" s="392"/>
      <c r="B376" s="389"/>
      <c r="C376" s="370"/>
      <c r="D376" s="388"/>
      <c r="E376" s="370"/>
      <c r="F376" s="60"/>
      <c r="G376" s="48"/>
      <c r="H376" s="60"/>
      <c r="I376" s="60"/>
      <c r="J376" s="60"/>
      <c r="K376" s="60"/>
      <c r="L376" s="48"/>
      <c r="M376" s="60"/>
      <c r="N376" s="60"/>
      <c r="O376" s="48"/>
      <c r="P376" s="48"/>
      <c r="Q376" s="48"/>
    </row>
    <row r="377">
      <c r="A377" s="360"/>
      <c r="B377" s="360"/>
      <c r="C377" s="361"/>
      <c r="D377" s="360"/>
      <c r="E377" s="362"/>
      <c r="F377" s="60"/>
      <c r="G377" s="48"/>
      <c r="H377" s="60"/>
      <c r="I377" s="60"/>
      <c r="J377" s="60"/>
      <c r="K377" s="60"/>
      <c r="L377" s="48"/>
      <c r="M377" s="60"/>
      <c r="N377" s="60"/>
      <c r="O377" s="48"/>
      <c r="P377" s="48"/>
      <c r="Q377" s="48"/>
    </row>
    <row r="378">
      <c r="A378" s="367"/>
      <c r="B378" s="389"/>
      <c r="C378" s="370"/>
      <c r="D378" s="388"/>
      <c r="E378" s="370"/>
      <c r="F378" s="60"/>
      <c r="G378" s="48"/>
      <c r="H378" s="60"/>
      <c r="I378" s="60"/>
      <c r="J378" s="60"/>
      <c r="K378" s="60"/>
      <c r="L378" s="48"/>
      <c r="M378" s="60"/>
      <c r="N378" s="60"/>
      <c r="O378" s="48"/>
      <c r="P378" s="48"/>
      <c r="Q378" s="48"/>
    </row>
    <row r="379">
      <c r="A379" s="367"/>
      <c r="B379" s="389"/>
      <c r="C379" s="370"/>
      <c r="D379" s="393"/>
      <c r="E379" s="370"/>
      <c r="F379" s="60"/>
      <c r="G379" s="48"/>
      <c r="H379" s="60"/>
      <c r="I379" s="60"/>
      <c r="J379" s="60"/>
      <c r="K379" s="60"/>
      <c r="L379" s="48"/>
      <c r="M379" s="60"/>
      <c r="N379" s="60"/>
      <c r="O379" s="48"/>
      <c r="P379" s="48"/>
      <c r="Q379" s="48"/>
    </row>
    <row r="380">
      <c r="A380" s="367"/>
      <c r="B380" s="389"/>
      <c r="C380" s="370"/>
      <c r="D380" s="388"/>
      <c r="E380" s="370"/>
      <c r="F380" s="60"/>
      <c r="G380" s="48"/>
      <c r="H380" s="60"/>
      <c r="I380" s="60"/>
      <c r="J380" s="60"/>
      <c r="K380" s="60"/>
      <c r="L380" s="48"/>
      <c r="M380" s="60"/>
      <c r="N380" s="60"/>
      <c r="O380" s="48"/>
      <c r="P380" s="48"/>
      <c r="Q380" s="48"/>
    </row>
    <row r="381">
      <c r="A381" s="367"/>
      <c r="B381" s="389"/>
      <c r="C381" s="370"/>
      <c r="D381" s="388"/>
      <c r="E381" s="370"/>
      <c r="F381" s="60"/>
      <c r="G381" s="48"/>
      <c r="H381" s="60"/>
      <c r="I381" s="60"/>
      <c r="J381" s="60"/>
      <c r="K381" s="60"/>
      <c r="L381" s="48"/>
      <c r="M381" s="60"/>
      <c r="N381" s="60"/>
      <c r="O381" s="48"/>
      <c r="P381" s="48"/>
      <c r="Q381" s="48"/>
    </row>
    <row r="382">
      <c r="A382" s="367"/>
      <c r="B382" s="389"/>
      <c r="C382" s="370"/>
      <c r="D382" s="388"/>
      <c r="E382" s="370"/>
      <c r="F382" s="60"/>
      <c r="G382" s="48"/>
      <c r="H382" s="60"/>
      <c r="I382" s="60"/>
      <c r="J382" s="60"/>
      <c r="K382" s="60"/>
      <c r="L382" s="48"/>
      <c r="M382" s="60"/>
      <c r="N382" s="60"/>
      <c r="O382" s="48"/>
      <c r="P382" s="48"/>
      <c r="Q382" s="48"/>
    </row>
    <row r="383">
      <c r="A383" s="367"/>
      <c r="B383" s="389"/>
      <c r="C383" s="370"/>
      <c r="D383" s="388"/>
      <c r="E383" s="370"/>
      <c r="F383" s="60"/>
      <c r="G383" s="48"/>
      <c r="H383" s="60"/>
      <c r="I383" s="60"/>
      <c r="J383" s="60"/>
      <c r="K383" s="60"/>
      <c r="L383" s="48"/>
      <c r="M383" s="60"/>
      <c r="N383" s="60"/>
      <c r="O383" s="48"/>
      <c r="P383" s="48"/>
      <c r="Q383" s="48"/>
    </row>
    <row r="384">
      <c r="A384" s="392"/>
      <c r="B384" s="389"/>
      <c r="C384" s="370"/>
      <c r="D384" s="388"/>
      <c r="E384" s="370"/>
      <c r="F384" s="60"/>
      <c r="G384" s="48"/>
      <c r="H384" s="60"/>
      <c r="I384" s="60"/>
      <c r="J384" s="60"/>
      <c r="K384" s="60"/>
      <c r="L384" s="48"/>
      <c r="M384" s="60"/>
      <c r="N384" s="60"/>
      <c r="O384" s="48"/>
      <c r="P384" s="48"/>
      <c r="Q384" s="48"/>
    </row>
    <row r="385">
      <c r="A385" s="392"/>
      <c r="B385" s="389"/>
      <c r="C385" s="370"/>
      <c r="D385" s="388"/>
      <c r="E385" s="384"/>
      <c r="F385" s="60"/>
      <c r="G385" s="48"/>
      <c r="H385" s="60"/>
      <c r="I385" s="60"/>
      <c r="J385" s="60"/>
      <c r="K385" s="60"/>
      <c r="L385" s="48"/>
      <c r="M385" s="60"/>
      <c r="N385" s="60"/>
      <c r="O385" s="48"/>
      <c r="P385" s="48"/>
      <c r="Q385" s="48"/>
    </row>
    <row r="386">
      <c r="A386" s="367"/>
      <c r="B386" s="389"/>
      <c r="C386" s="370"/>
      <c r="D386" s="388"/>
      <c r="E386" s="383"/>
      <c r="F386" s="60"/>
      <c r="G386" s="48"/>
      <c r="H386" s="60"/>
      <c r="I386" s="60"/>
      <c r="J386" s="60"/>
      <c r="K386" s="60"/>
      <c r="L386" s="48"/>
      <c r="M386" s="60"/>
      <c r="N386" s="60"/>
      <c r="O386" s="48"/>
      <c r="P386" s="48"/>
      <c r="Q386" s="48"/>
    </row>
    <row r="387">
      <c r="A387" s="367"/>
      <c r="B387" s="389"/>
      <c r="C387" s="370"/>
      <c r="D387" s="388"/>
      <c r="E387" s="370"/>
      <c r="F387" s="60"/>
      <c r="G387" s="48"/>
      <c r="H387" s="60"/>
      <c r="I387" s="60"/>
      <c r="J387" s="60"/>
      <c r="K387" s="60"/>
      <c r="L387" s="48"/>
      <c r="M387" s="60"/>
      <c r="N387" s="60"/>
      <c r="O387" s="48"/>
      <c r="P387" s="48"/>
      <c r="Q387" s="48"/>
    </row>
    <row r="388">
      <c r="A388" s="392"/>
      <c r="B388" s="389"/>
      <c r="C388" s="370"/>
      <c r="D388" s="388"/>
      <c r="E388" s="384"/>
      <c r="F388" s="60"/>
      <c r="G388" s="48"/>
      <c r="H388" s="60"/>
      <c r="I388" s="60"/>
      <c r="J388" s="60"/>
      <c r="K388" s="60"/>
      <c r="L388" s="48"/>
      <c r="M388" s="60"/>
      <c r="N388" s="60"/>
      <c r="O388" s="48"/>
      <c r="P388" s="48"/>
      <c r="Q388" s="48"/>
    </row>
    <row r="389">
      <c r="A389" s="367"/>
      <c r="B389" s="389"/>
      <c r="C389" s="370"/>
      <c r="D389" s="388"/>
      <c r="E389" s="384"/>
      <c r="F389" s="60"/>
      <c r="G389" s="48"/>
      <c r="H389" s="60"/>
      <c r="I389" s="60"/>
      <c r="J389" s="60"/>
      <c r="K389" s="60"/>
      <c r="L389" s="48"/>
      <c r="M389" s="60"/>
      <c r="N389" s="60"/>
      <c r="O389" s="48"/>
      <c r="P389" s="48"/>
      <c r="Q389" s="48"/>
    </row>
    <row r="390">
      <c r="A390" s="392"/>
      <c r="B390" s="389"/>
      <c r="C390" s="370"/>
      <c r="D390" s="393"/>
      <c r="E390" s="384"/>
      <c r="F390" s="60"/>
      <c r="G390" s="48"/>
      <c r="H390" s="60"/>
      <c r="I390" s="60"/>
      <c r="J390" s="60"/>
      <c r="K390" s="60"/>
      <c r="L390" s="48"/>
      <c r="M390" s="60"/>
      <c r="N390" s="60"/>
      <c r="O390" s="48"/>
      <c r="P390" s="48"/>
      <c r="Q390" s="48"/>
    </row>
    <row r="391">
      <c r="A391" s="392"/>
      <c r="B391" s="389"/>
      <c r="C391" s="370"/>
      <c r="D391" s="388"/>
      <c r="E391" s="384"/>
      <c r="F391" s="60"/>
      <c r="G391" s="48"/>
      <c r="H391" s="60"/>
      <c r="I391" s="60"/>
      <c r="J391" s="60"/>
      <c r="K391" s="60"/>
      <c r="L391" s="48"/>
      <c r="M391" s="60"/>
      <c r="N391" s="60"/>
      <c r="O391" s="48"/>
      <c r="P391" s="48"/>
      <c r="Q391" s="48"/>
    </row>
    <row r="392">
      <c r="A392" s="367"/>
      <c r="B392" s="389"/>
      <c r="C392" s="370"/>
      <c r="D392" s="388"/>
      <c r="E392" s="370"/>
      <c r="F392" s="60"/>
      <c r="G392" s="48"/>
      <c r="H392" s="60"/>
      <c r="I392" s="60"/>
      <c r="J392" s="60"/>
      <c r="K392" s="60"/>
      <c r="L392" s="48"/>
      <c r="M392" s="60"/>
      <c r="N392" s="60"/>
      <c r="O392" s="48"/>
      <c r="P392" s="48"/>
      <c r="Q392" s="48"/>
    </row>
    <row r="393">
      <c r="A393" s="392"/>
      <c r="B393" s="389"/>
      <c r="C393" s="370"/>
      <c r="D393" s="388"/>
      <c r="E393" s="370"/>
      <c r="F393" s="60"/>
      <c r="G393" s="48"/>
      <c r="H393" s="60"/>
      <c r="I393" s="60"/>
      <c r="J393" s="60"/>
      <c r="K393" s="60"/>
      <c r="L393" s="48"/>
      <c r="M393" s="60"/>
      <c r="N393" s="60"/>
      <c r="O393" s="48"/>
      <c r="P393" s="48"/>
      <c r="Q393" s="48"/>
    </row>
    <row r="394">
      <c r="A394" s="392"/>
      <c r="B394" s="389"/>
      <c r="C394" s="370"/>
      <c r="D394" s="388"/>
      <c r="E394" s="384"/>
      <c r="F394" s="60"/>
      <c r="G394" s="48"/>
      <c r="H394" s="60"/>
      <c r="I394" s="60"/>
      <c r="J394" s="60"/>
      <c r="K394" s="60"/>
      <c r="L394" s="48"/>
      <c r="M394" s="60"/>
      <c r="N394" s="60"/>
      <c r="O394" s="48"/>
      <c r="P394" s="48"/>
      <c r="Q394" s="48"/>
    </row>
    <row r="395">
      <c r="A395" s="367"/>
      <c r="B395" s="389"/>
      <c r="C395" s="370"/>
      <c r="D395" s="388"/>
      <c r="E395" s="383"/>
      <c r="F395" s="60"/>
      <c r="G395" s="48"/>
      <c r="H395" s="60"/>
      <c r="I395" s="60"/>
      <c r="J395" s="60"/>
      <c r="K395" s="60"/>
      <c r="L395" s="48"/>
      <c r="M395" s="60"/>
      <c r="N395" s="60"/>
      <c r="O395" s="48"/>
      <c r="P395" s="48"/>
      <c r="Q395" s="48"/>
    </row>
    <row r="396">
      <c r="A396" s="392"/>
      <c r="B396" s="389"/>
      <c r="C396" s="370"/>
      <c r="D396" s="388"/>
      <c r="E396" s="384"/>
      <c r="F396" s="60"/>
      <c r="G396" s="48"/>
      <c r="H396" s="60"/>
      <c r="I396" s="60"/>
      <c r="J396" s="60"/>
      <c r="K396" s="60"/>
      <c r="L396" s="48"/>
      <c r="M396" s="60"/>
      <c r="N396" s="60"/>
      <c r="O396" s="48"/>
      <c r="P396" s="48"/>
      <c r="Q396" s="48"/>
    </row>
    <row r="397">
      <c r="A397" s="392"/>
      <c r="B397" s="389"/>
      <c r="C397" s="370"/>
      <c r="D397" s="388"/>
      <c r="E397" s="383"/>
      <c r="F397" s="60"/>
      <c r="G397" s="48"/>
      <c r="H397" s="60"/>
      <c r="I397" s="60"/>
      <c r="J397" s="60"/>
      <c r="K397" s="60"/>
      <c r="L397" s="48"/>
      <c r="M397" s="60"/>
      <c r="N397" s="60"/>
      <c r="O397" s="48"/>
      <c r="P397" s="48"/>
      <c r="Q397" s="48"/>
    </row>
    <row r="398">
      <c r="A398" s="392"/>
      <c r="B398" s="389"/>
      <c r="C398" s="370"/>
      <c r="D398" s="388"/>
      <c r="E398" s="384"/>
      <c r="F398" s="60"/>
      <c r="G398" s="48"/>
      <c r="H398" s="60"/>
      <c r="I398" s="60"/>
      <c r="J398" s="60"/>
      <c r="K398" s="60"/>
      <c r="L398" s="48"/>
      <c r="M398" s="60"/>
      <c r="N398" s="60"/>
      <c r="O398" s="48"/>
      <c r="P398" s="48"/>
      <c r="Q398" s="48"/>
    </row>
    <row r="399">
      <c r="A399" s="367"/>
      <c r="B399" s="389"/>
      <c r="C399" s="370"/>
      <c r="D399" s="388"/>
      <c r="E399" s="370"/>
      <c r="F399" s="60"/>
      <c r="G399" s="48"/>
      <c r="H399" s="60"/>
      <c r="I399" s="60"/>
      <c r="J399" s="60"/>
      <c r="K399" s="60"/>
      <c r="L399" s="48"/>
      <c r="M399" s="60"/>
      <c r="N399" s="60"/>
      <c r="O399" s="48"/>
      <c r="P399" s="48"/>
      <c r="Q399" s="48"/>
    </row>
    <row r="400">
      <c r="A400" s="367"/>
      <c r="B400" s="389"/>
      <c r="C400" s="370"/>
      <c r="D400" s="388"/>
      <c r="E400" s="370"/>
      <c r="F400" s="60"/>
      <c r="G400" s="48"/>
      <c r="H400" s="60"/>
      <c r="I400" s="60"/>
      <c r="J400" s="60"/>
      <c r="K400" s="60"/>
      <c r="L400" s="48"/>
      <c r="M400" s="60"/>
      <c r="N400" s="60"/>
      <c r="O400" s="48"/>
      <c r="P400" s="48"/>
      <c r="Q400" s="48"/>
    </row>
    <row r="401">
      <c r="A401" s="392"/>
      <c r="B401" s="389"/>
      <c r="C401" s="370"/>
      <c r="D401" s="388"/>
      <c r="E401" s="384"/>
      <c r="F401" s="60"/>
      <c r="G401" s="48"/>
      <c r="H401" s="60"/>
      <c r="I401" s="60"/>
      <c r="J401" s="60"/>
      <c r="K401" s="60"/>
      <c r="L401" s="48"/>
      <c r="M401" s="60"/>
      <c r="N401" s="60"/>
      <c r="O401" s="48"/>
      <c r="P401" s="48"/>
      <c r="Q401" s="48"/>
    </row>
    <row r="402">
      <c r="A402" s="392"/>
      <c r="B402" s="389"/>
      <c r="C402" s="370"/>
      <c r="D402" s="388"/>
      <c r="E402" s="383"/>
      <c r="F402" s="60"/>
      <c r="G402" s="48"/>
      <c r="H402" s="60"/>
      <c r="I402" s="60"/>
      <c r="J402" s="60"/>
      <c r="K402" s="60"/>
      <c r="L402" s="48"/>
      <c r="M402" s="60"/>
      <c r="N402" s="60"/>
      <c r="O402" s="48"/>
      <c r="P402" s="48"/>
      <c r="Q402" s="48"/>
    </row>
    <row r="403">
      <c r="A403" s="392"/>
      <c r="B403" s="389"/>
      <c r="C403" s="370"/>
      <c r="D403" s="388"/>
      <c r="E403" s="370"/>
      <c r="F403" s="60"/>
      <c r="G403" s="48"/>
      <c r="H403" s="60"/>
      <c r="I403" s="60"/>
      <c r="J403" s="60"/>
      <c r="K403" s="60"/>
      <c r="L403" s="48"/>
      <c r="M403" s="60"/>
      <c r="N403" s="60"/>
      <c r="O403" s="48"/>
      <c r="P403" s="48"/>
      <c r="Q403" s="48"/>
    </row>
    <row r="404">
      <c r="A404" s="367"/>
      <c r="B404" s="389"/>
      <c r="C404" s="370"/>
      <c r="D404" s="388"/>
      <c r="E404" s="370"/>
      <c r="F404" s="60"/>
      <c r="G404" s="48"/>
      <c r="H404" s="60"/>
      <c r="I404" s="60"/>
      <c r="J404" s="60"/>
      <c r="K404" s="60"/>
      <c r="L404" s="48"/>
      <c r="M404" s="60"/>
      <c r="N404" s="60"/>
      <c r="O404" s="48"/>
      <c r="P404" s="48"/>
      <c r="Q404" s="48"/>
    </row>
    <row r="405">
      <c r="A405" s="367"/>
      <c r="B405" s="389"/>
      <c r="C405" s="370"/>
      <c r="D405" s="388"/>
      <c r="E405" s="370"/>
      <c r="F405" s="60"/>
      <c r="G405" s="48"/>
      <c r="H405" s="60"/>
      <c r="I405" s="60"/>
      <c r="J405" s="60"/>
      <c r="K405" s="60"/>
      <c r="L405" s="48"/>
      <c r="M405" s="60"/>
      <c r="N405" s="60"/>
      <c r="O405" s="48"/>
      <c r="P405" s="48"/>
      <c r="Q405" s="48"/>
    </row>
    <row r="406">
      <c r="A406" s="367"/>
      <c r="B406" s="389"/>
      <c r="C406" s="370"/>
      <c r="D406" s="393"/>
      <c r="E406" s="370"/>
      <c r="F406" s="60"/>
      <c r="G406" s="48"/>
      <c r="H406" s="60"/>
      <c r="I406" s="60"/>
      <c r="J406" s="60"/>
      <c r="K406" s="60"/>
      <c r="L406" s="48"/>
      <c r="M406" s="60"/>
      <c r="N406" s="60"/>
      <c r="O406" s="48"/>
      <c r="P406" s="48"/>
      <c r="Q406" s="48"/>
    </row>
    <row r="407">
      <c r="A407" s="367"/>
      <c r="B407" s="389"/>
      <c r="C407" s="370"/>
      <c r="D407" s="388"/>
      <c r="E407" s="384"/>
      <c r="F407" s="60"/>
      <c r="G407" s="48"/>
      <c r="H407" s="60"/>
      <c r="I407" s="60"/>
      <c r="J407" s="60"/>
      <c r="K407" s="60"/>
      <c r="L407" s="48"/>
      <c r="M407" s="60"/>
      <c r="N407" s="60"/>
      <c r="O407" s="48"/>
      <c r="P407" s="48"/>
      <c r="Q407" s="48"/>
    </row>
    <row r="408">
      <c r="A408" s="367"/>
      <c r="B408" s="389"/>
      <c r="C408" s="370"/>
      <c r="D408" s="388"/>
      <c r="E408" s="370"/>
      <c r="F408" s="60"/>
      <c r="G408" s="48"/>
      <c r="H408" s="60"/>
      <c r="I408" s="60"/>
      <c r="J408" s="60"/>
      <c r="K408" s="60"/>
      <c r="L408" s="48"/>
      <c r="M408" s="60"/>
      <c r="N408" s="60"/>
      <c r="O408" s="48"/>
      <c r="P408" s="48"/>
      <c r="Q408" s="48"/>
    </row>
    <row r="409">
      <c r="A409" s="367"/>
      <c r="B409" s="389"/>
      <c r="C409" s="370"/>
      <c r="D409" s="388"/>
      <c r="E409" s="384"/>
      <c r="F409" s="60"/>
      <c r="G409" s="48"/>
      <c r="H409" s="60"/>
      <c r="I409" s="60"/>
      <c r="J409" s="60"/>
      <c r="K409" s="60"/>
      <c r="L409" s="48"/>
      <c r="M409" s="60"/>
      <c r="N409" s="60"/>
      <c r="O409" s="48"/>
      <c r="P409" s="48"/>
      <c r="Q409" s="48"/>
    </row>
    <row r="410">
      <c r="A410" s="367"/>
      <c r="B410" s="389"/>
      <c r="C410" s="370"/>
      <c r="D410" s="388"/>
      <c r="E410" s="370"/>
      <c r="F410" s="60"/>
      <c r="G410" s="48"/>
      <c r="H410" s="60"/>
      <c r="I410" s="60"/>
      <c r="J410" s="60"/>
      <c r="K410" s="60"/>
      <c r="L410" s="48"/>
      <c r="M410" s="60"/>
      <c r="N410" s="60"/>
      <c r="O410" s="48"/>
      <c r="P410" s="48"/>
      <c r="Q410" s="48"/>
    </row>
    <row r="411">
      <c r="A411" s="367"/>
      <c r="B411" s="389"/>
      <c r="C411" s="370"/>
      <c r="D411" s="388"/>
      <c r="E411" s="370"/>
      <c r="F411" s="60"/>
      <c r="G411" s="48"/>
      <c r="H411" s="60"/>
      <c r="I411" s="60"/>
      <c r="J411" s="60"/>
      <c r="K411" s="60"/>
      <c r="L411" s="48"/>
      <c r="M411" s="60"/>
      <c r="N411" s="60"/>
      <c r="O411" s="48"/>
      <c r="P411" s="48"/>
      <c r="Q411" s="48"/>
    </row>
    <row r="412">
      <c r="A412" s="392"/>
      <c r="B412" s="389"/>
      <c r="C412" s="370"/>
      <c r="D412" s="388"/>
      <c r="E412" s="383"/>
      <c r="F412" s="60"/>
      <c r="G412" s="48"/>
      <c r="H412" s="60"/>
      <c r="I412" s="60"/>
      <c r="J412" s="60"/>
      <c r="K412" s="60"/>
      <c r="L412" s="48"/>
      <c r="M412" s="60"/>
      <c r="N412" s="60"/>
      <c r="O412" s="48"/>
      <c r="P412" s="48"/>
      <c r="Q412" s="48"/>
    </row>
    <row r="413">
      <c r="A413" s="392"/>
      <c r="B413" s="389"/>
      <c r="C413" s="370"/>
      <c r="D413" s="388"/>
      <c r="E413" s="370"/>
      <c r="F413" s="60"/>
      <c r="G413" s="48"/>
      <c r="H413" s="60"/>
      <c r="I413" s="60"/>
      <c r="J413" s="60"/>
      <c r="K413" s="60"/>
      <c r="L413" s="48"/>
      <c r="M413" s="60"/>
      <c r="N413" s="60"/>
      <c r="O413" s="48"/>
      <c r="P413" s="48"/>
      <c r="Q413" s="48"/>
    </row>
    <row r="414">
      <c r="A414" s="367"/>
      <c r="B414" s="389"/>
      <c r="C414" s="370"/>
      <c r="D414" s="388"/>
      <c r="E414" s="370"/>
      <c r="F414" s="60"/>
      <c r="G414" s="48"/>
      <c r="H414" s="60"/>
      <c r="I414" s="60"/>
      <c r="J414" s="60"/>
      <c r="K414" s="60"/>
      <c r="L414" s="48"/>
      <c r="M414" s="60"/>
      <c r="N414" s="60"/>
      <c r="O414" s="48"/>
      <c r="P414" s="48"/>
      <c r="Q414" s="48"/>
    </row>
    <row r="415">
      <c r="A415" s="392"/>
      <c r="B415" s="389"/>
      <c r="C415" s="370"/>
      <c r="D415" s="388"/>
      <c r="E415" s="384"/>
      <c r="F415" s="60"/>
      <c r="G415" s="48"/>
      <c r="H415" s="60"/>
      <c r="I415" s="60"/>
      <c r="J415" s="60"/>
      <c r="K415" s="60"/>
      <c r="L415" s="48"/>
      <c r="M415" s="60"/>
      <c r="N415" s="60"/>
      <c r="O415" s="48"/>
      <c r="P415" s="48"/>
      <c r="Q415" s="48"/>
    </row>
    <row r="416">
      <c r="A416" s="392"/>
      <c r="B416" s="389"/>
      <c r="C416" s="370"/>
      <c r="D416" s="388"/>
      <c r="E416" s="383"/>
      <c r="F416" s="60"/>
      <c r="G416" s="48"/>
      <c r="H416" s="60"/>
      <c r="I416" s="60"/>
      <c r="J416" s="60"/>
      <c r="K416" s="60"/>
      <c r="L416" s="48"/>
      <c r="M416" s="60"/>
      <c r="N416" s="60"/>
      <c r="O416" s="48"/>
      <c r="P416" s="48"/>
      <c r="Q416" s="48"/>
    </row>
    <row r="417">
      <c r="A417" s="392"/>
      <c r="B417" s="389"/>
      <c r="C417" s="370"/>
      <c r="D417" s="388"/>
      <c r="E417" s="370"/>
      <c r="F417" s="60"/>
      <c r="G417" s="48"/>
      <c r="H417" s="60"/>
      <c r="I417" s="60"/>
      <c r="J417" s="60"/>
      <c r="K417" s="60"/>
      <c r="L417" s="48"/>
      <c r="M417" s="60"/>
      <c r="N417" s="60"/>
      <c r="O417" s="48"/>
      <c r="P417" s="48"/>
      <c r="Q417" s="48"/>
    </row>
    <row r="418">
      <c r="A418" s="360"/>
      <c r="B418" s="360"/>
      <c r="C418" s="361"/>
      <c r="D418" s="360"/>
      <c r="E418" s="362"/>
      <c r="F418" s="60"/>
      <c r="G418" s="48"/>
      <c r="H418" s="60"/>
      <c r="I418" s="60"/>
      <c r="J418" s="60"/>
      <c r="K418" s="60"/>
      <c r="L418" s="48"/>
      <c r="M418" s="60"/>
      <c r="N418" s="60"/>
      <c r="O418" s="48"/>
      <c r="P418" s="48"/>
      <c r="Q418" s="48"/>
    </row>
    <row r="419">
      <c r="A419" s="367"/>
      <c r="B419" s="389"/>
      <c r="C419" s="370"/>
      <c r="D419" s="388"/>
      <c r="E419" s="370"/>
      <c r="F419" s="60"/>
      <c r="G419" s="48"/>
      <c r="H419" s="60"/>
      <c r="I419" s="60"/>
      <c r="J419" s="60"/>
      <c r="K419" s="60"/>
      <c r="L419" s="48"/>
      <c r="M419" s="60"/>
      <c r="N419" s="60"/>
      <c r="O419" s="48"/>
      <c r="P419" s="48"/>
      <c r="Q419" s="48"/>
    </row>
    <row r="420">
      <c r="A420" s="367"/>
      <c r="B420" s="389"/>
      <c r="C420" s="370"/>
      <c r="D420" s="393"/>
      <c r="E420" s="370"/>
      <c r="F420" s="60"/>
      <c r="G420" s="48"/>
      <c r="H420" s="60"/>
      <c r="I420" s="60"/>
      <c r="J420" s="60"/>
      <c r="K420" s="60"/>
      <c r="L420" s="48"/>
      <c r="M420" s="60"/>
      <c r="N420" s="60"/>
      <c r="O420" s="48"/>
      <c r="P420" s="48"/>
      <c r="Q420" s="48"/>
    </row>
    <row r="421">
      <c r="A421" s="367"/>
      <c r="B421" s="389"/>
      <c r="C421" s="370"/>
      <c r="D421" s="388"/>
      <c r="E421" s="370"/>
      <c r="F421" s="60"/>
      <c r="G421" s="48"/>
      <c r="H421" s="60"/>
      <c r="I421" s="60"/>
      <c r="J421" s="60"/>
      <c r="K421" s="60"/>
      <c r="L421" s="48"/>
      <c r="M421" s="60"/>
      <c r="N421" s="60"/>
      <c r="O421" s="48"/>
      <c r="P421" s="48"/>
      <c r="Q421" s="48"/>
    </row>
    <row r="422">
      <c r="A422" s="367"/>
      <c r="B422" s="389"/>
      <c r="C422" s="370"/>
      <c r="D422" s="388"/>
      <c r="E422" s="370"/>
      <c r="F422" s="60"/>
      <c r="G422" s="48"/>
      <c r="H422" s="60"/>
      <c r="I422" s="60"/>
      <c r="J422" s="60"/>
      <c r="K422" s="60"/>
      <c r="L422" s="48"/>
      <c r="M422" s="60"/>
      <c r="N422" s="60"/>
      <c r="O422" s="48"/>
      <c r="P422" s="48"/>
      <c r="Q422" s="48"/>
    </row>
    <row r="423">
      <c r="A423" s="367"/>
      <c r="B423" s="389"/>
      <c r="C423" s="370"/>
      <c r="D423" s="388"/>
      <c r="E423" s="370"/>
      <c r="F423" s="60"/>
      <c r="G423" s="48"/>
      <c r="H423" s="60"/>
      <c r="I423" s="60"/>
      <c r="J423" s="60"/>
      <c r="K423" s="60"/>
      <c r="L423" s="48"/>
      <c r="M423" s="60"/>
      <c r="N423" s="60"/>
      <c r="O423" s="48"/>
      <c r="P423" s="48"/>
      <c r="Q423" s="48"/>
    </row>
    <row r="424">
      <c r="A424" s="367"/>
      <c r="B424" s="389"/>
      <c r="C424" s="370"/>
      <c r="D424" s="388"/>
      <c r="E424" s="370"/>
      <c r="F424" s="60"/>
      <c r="G424" s="48"/>
      <c r="H424" s="60"/>
      <c r="I424" s="60"/>
      <c r="J424" s="60"/>
      <c r="K424" s="60"/>
      <c r="L424" s="48"/>
      <c r="M424" s="60"/>
      <c r="N424" s="60"/>
      <c r="O424" s="48"/>
      <c r="P424" s="48"/>
      <c r="Q424" s="48"/>
    </row>
    <row r="425">
      <c r="A425" s="392"/>
      <c r="B425" s="389"/>
      <c r="C425" s="370"/>
      <c r="D425" s="388"/>
      <c r="E425" s="370"/>
      <c r="F425" s="60"/>
      <c r="G425" s="48"/>
      <c r="H425" s="60"/>
      <c r="I425" s="60"/>
      <c r="J425" s="60"/>
      <c r="K425" s="60"/>
      <c r="L425" s="48"/>
      <c r="M425" s="60"/>
      <c r="N425" s="60"/>
      <c r="O425" s="48"/>
      <c r="P425" s="48"/>
      <c r="Q425" s="48"/>
    </row>
    <row r="426">
      <c r="A426" s="392"/>
      <c r="B426" s="389"/>
      <c r="C426" s="370"/>
      <c r="D426" s="388"/>
      <c r="E426" s="384"/>
      <c r="F426" s="60"/>
      <c r="G426" s="48"/>
      <c r="H426" s="60"/>
      <c r="I426" s="60"/>
      <c r="J426" s="60"/>
      <c r="K426" s="60"/>
      <c r="L426" s="48"/>
      <c r="M426" s="60"/>
      <c r="N426" s="60"/>
      <c r="O426" s="48"/>
      <c r="P426" s="48"/>
      <c r="Q426" s="48"/>
    </row>
    <row r="427">
      <c r="A427" s="367"/>
      <c r="B427" s="389"/>
      <c r="C427" s="370"/>
      <c r="D427" s="388"/>
      <c r="E427" s="383"/>
      <c r="F427" s="60"/>
      <c r="G427" s="48"/>
      <c r="H427" s="60"/>
      <c r="I427" s="60"/>
      <c r="J427" s="60"/>
      <c r="K427" s="60"/>
      <c r="L427" s="48"/>
      <c r="M427" s="60"/>
      <c r="N427" s="60"/>
      <c r="O427" s="48"/>
      <c r="P427" s="48"/>
      <c r="Q427" s="48"/>
    </row>
    <row r="428">
      <c r="A428" s="367"/>
      <c r="B428" s="389"/>
      <c r="C428" s="370"/>
      <c r="D428" s="388"/>
      <c r="E428" s="370"/>
      <c r="F428" s="60"/>
      <c r="G428" s="48"/>
      <c r="H428" s="60"/>
      <c r="I428" s="60"/>
      <c r="J428" s="60"/>
      <c r="K428" s="60"/>
      <c r="L428" s="48"/>
      <c r="M428" s="60"/>
      <c r="N428" s="60"/>
      <c r="O428" s="48"/>
      <c r="P428" s="48"/>
      <c r="Q428" s="48"/>
    </row>
    <row r="429">
      <c r="A429" s="392"/>
      <c r="B429" s="389"/>
      <c r="C429" s="370"/>
      <c r="D429" s="388"/>
      <c r="E429" s="384"/>
      <c r="F429" s="60"/>
      <c r="G429" s="48"/>
      <c r="H429" s="60"/>
      <c r="I429" s="60"/>
      <c r="J429" s="60"/>
      <c r="K429" s="60"/>
      <c r="L429" s="48"/>
      <c r="M429" s="60"/>
      <c r="N429" s="60"/>
      <c r="O429" s="48"/>
      <c r="P429" s="48"/>
      <c r="Q429" s="48"/>
    </row>
    <row r="430">
      <c r="A430" s="367"/>
      <c r="B430" s="389"/>
      <c r="C430" s="370"/>
      <c r="D430" s="388"/>
      <c r="E430" s="384"/>
      <c r="F430" s="60"/>
      <c r="G430" s="48"/>
      <c r="H430" s="60"/>
      <c r="I430" s="60"/>
      <c r="J430" s="60"/>
      <c r="K430" s="60"/>
      <c r="L430" s="48"/>
      <c r="M430" s="60"/>
      <c r="N430" s="60"/>
      <c r="O430" s="48"/>
      <c r="P430" s="48"/>
      <c r="Q430" s="48"/>
    </row>
    <row r="431">
      <c r="A431" s="392"/>
      <c r="B431" s="389"/>
      <c r="C431" s="370"/>
      <c r="D431" s="393"/>
      <c r="E431" s="384"/>
      <c r="F431" s="60"/>
      <c r="G431" s="48"/>
      <c r="H431" s="60"/>
      <c r="I431" s="60"/>
      <c r="J431" s="60"/>
      <c r="K431" s="60"/>
      <c r="L431" s="48"/>
      <c r="M431" s="60"/>
      <c r="N431" s="60"/>
      <c r="O431" s="48"/>
      <c r="P431" s="48"/>
      <c r="Q431" s="48"/>
    </row>
    <row r="432">
      <c r="A432" s="392"/>
      <c r="B432" s="389"/>
      <c r="C432" s="370"/>
      <c r="D432" s="388"/>
      <c r="E432" s="384"/>
      <c r="F432" s="60"/>
      <c r="G432" s="48"/>
      <c r="H432" s="60"/>
      <c r="I432" s="60"/>
      <c r="J432" s="60"/>
      <c r="K432" s="60"/>
      <c r="L432" s="48"/>
      <c r="M432" s="60"/>
      <c r="N432" s="60"/>
      <c r="O432" s="48"/>
      <c r="P432" s="48"/>
      <c r="Q432" s="48"/>
    </row>
    <row r="433">
      <c r="A433" s="367"/>
      <c r="B433" s="389"/>
      <c r="C433" s="370"/>
      <c r="D433" s="388"/>
      <c r="E433" s="370"/>
      <c r="F433" s="60"/>
      <c r="G433" s="48"/>
      <c r="H433" s="60"/>
      <c r="I433" s="60"/>
      <c r="J433" s="60"/>
      <c r="K433" s="60"/>
      <c r="L433" s="48"/>
      <c r="M433" s="60"/>
      <c r="N433" s="60"/>
      <c r="O433" s="48"/>
      <c r="P433" s="48"/>
      <c r="Q433" s="48"/>
    </row>
    <row r="434">
      <c r="A434" s="392"/>
      <c r="B434" s="389"/>
      <c r="C434" s="370"/>
      <c r="D434" s="388"/>
      <c r="E434" s="370"/>
      <c r="F434" s="60"/>
      <c r="G434" s="48"/>
      <c r="H434" s="60"/>
      <c r="I434" s="60"/>
      <c r="J434" s="60"/>
      <c r="K434" s="60"/>
      <c r="L434" s="48"/>
      <c r="M434" s="60"/>
      <c r="N434" s="60"/>
      <c r="O434" s="48"/>
      <c r="P434" s="48"/>
      <c r="Q434" s="48"/>
    </row>
    <row r="435">
      <c r="A435" s="392"/>
      <c r="B435" s="389"/>
      <c r="C435" s="370"/>
      <c r="D435" s="388"/>
      <c r="E435" s="384"/>
      <c r="F435" s="60"/>
      <c r="G435" s="48"/>
      <c r="H435" s="60"/>
      <c r="I435" s="60"/>
      <c r="J435" s="60"/>
      <c r="K435" s="60"/>
      <c r="L435" s="48"/>
      <c r="M435" s="60"/>
      <c r="N435" s="60"/>
      <c r="O435" s="48"/>
      <c r="P435" s="48"/>
      <c r="Q435" s="48"/>
    </row>
    <row r="436">
      <c r="A436" s="367"/>
      <c r="B436" s="389"/>
      <c r="C436" s="370"/>
      <c r="D436" s="388"/>
      <c r="E436" s="383"/>
      <c r="F436" s="60"/>
      <c r="G436" s="48"/>
      <c r="H436" s="60"/>
      <c r="I436" s="60"/>
      <c r="J436" s="60"/>
      <c r="K436" s="60"/>
      <c r="L436" s="48"/>
      <c r="M436" s="60"/>
      <c r="N436" s="60"/>
      <c r="O436" s="48"/>
      <c r="P436" s="48"/>
      <c r="Q436" s="48"/>
    </row>
    <row r="437">
      <c r="A437" s="392"/>
      <c r="B437" s="389"/>
      <c r="C437" s="370"/>
      <c r="D437" s="388"/>
      <c r="E437" s="384"/>
      <c r="F437" s="60"/>
      <c r="G437" s="48"/>
      <c r="H437" s="60"/>
      <c r="I437" s="60"/>
      <c r="J437" s="60"/>
      <c r="K437" s="60"/>
      <c r="L437" s="48"/>
      <c r="M437" s="60"/>
      <c r="N437" s="60"/>
      <c r="O437" s="48"/>
      <c r="P437" s="48"/>
      <c r="Q437" s="48"/>
    </row>
    <row r="438">
      <c r="A438" s="392"/>
      <c r="B438" s="389"/>
      <c r="C438" s="370"/>
      <c r="D438" s="388"/>
      <c r="E438" s="383"/>
      <c r="F438" s="60"/>
      <c r="G438" s="48"/>
      <c r="H438" s="60"/>
      <c r="I438" s="60"/>
      <c r="J438" s="60"/>
      <c r="K438" s="60"/>
      <c r="L438" s="48"/>
      <c r="M438" s="60"/>
      <c r="N438" s="60"/>
      <c r="O438" s="48"/>
      <c r="P438" s="48"/>
      <c r="Q438" s="48"/>
    </row>
    <row r="439">
      <c r="A439" s="392"/>
      <c r="B439" s="389"/>
      <c r="C439" s="370"/>
      <c r="D439" s="388"/>
      <c r="E439" s="384"/>
      <c r="F439" s="60"/>
      <c r="G439" s="48"/>
      <c r="H439" s="60"/>
      <c r="I439" s="60"/>
      <c r="J439" s="60"/>
      <c r="K439" s="60"/>
      <c r="L439" s="48"/>
      <c r="M439" s="60"/>
      <c r="N439" s="60"/>
      <c r="O439" s="48"/>
      <c r="P439" s="48"/>
      <c r="Q439" s="48"/>
    </row>
    <row r="440">
      <c r="A440" s="367"/>
      <c r="B440" s="389"/>
      <c r="C440" s="370"/>
      <c r="D440" s="388"/>
      <c r="E440" s="370"/>
      <c r="F440" s="60"/>
      <c r="G440" s="48"/>
      <c r="H440" s="60"/>
      <c r="I440" s="60"/>
      <c r="J440" s="60"/>
      <c r="K440" s="60"/>
      <c r="L440" s="48"/>
      <c r="M440" s="60"/>
      <c r="N440" s="60"/>
      <c r="O440" s="48"/>
      <c r="P440" s="48"/>
      <c r="Q440" s="48"/>
    </row>
    <row r="441">
      <c r="A441" s="367"/>
      <c r="B441" s="389"/>
      <c r="C441" s="370"/>
      <c r="D441" s="388"/>
      <c r="E441" s="370"/>
      <c r="F441" s="60"/>
      <c r="G441" s="48"/>
      <c r="H441" s="60"/>
      <c r="I441" s="60"/>
      <c r="J441" s="60"/>
      <c r="K441" s="60"/>
      <c r="L441" s="48"/>
      <c r="M441" s="60"/>
      <c r="N441" s="60"/>
      <c r="O441" s="48"/>
      <c r="P441" s="48"/>
      <c r="Q441" s="48"/>
    </row>
    <row r="442">
      <c r="A442" s="392"/>
      <c r="B442" s="389"/>
      <c r="C442" s="370"/>
      <c r="D442" s="388"/>
      <c r="E442" s="384"/>
      <c r="F442" s="60"/>
      <c r="G442" s="48"/>
      <c r="H442" s="60"/>
      <c r="I442" s="60"/>
      <c r="J442" s="60"/>
      <c r="K442" s="60"/>
      <c r="L442" s="48"/>
      <c r="M442" s="60"/>
      <c r="N442" s="60"/>
      <c r="O442" s="48"/>
      <c r="P442" s="48"/>
      <c r="Q442" s="48"/>
    </row>
    <row r="443">
      <c r="A443" s="392"/>
      <c r="B443" s="389"/>
      <c r="C443" s="370"/>
      <c r="D443" s="388"/>
      <c r="E443" s="383"/>
      <c r="F443" s="60"/>
      <c r="G443" s="48"/>
      <c r="H443" s="60"/>
      <c r="I443" s="60"/>
      <c r="J443" s="60"/>
      <c r="K443" s="60"/>
      <c r="L443" s="48"/>
      <c r="M443" s="60"/>
      <c r="N443" s="60"/>
      <c r="O443" s="48"/>
      <c r="P443" s="48"/>
      <c r="Q443" s="48"/>
    </row>
    <row r="444">
      <c r="A444" s="392"/>
      <c r="B444" s="389"/>
      <c r="C444" s="370"/>
      <c r="D444" s="388"/>
      <c r="E444" s="370"/>
      <c r="F444" s="60"/>
      <c r="G444" s="48"/>
      <c r="H444" s="60"/>
      <c r="I444" s="60"/>
      <c r="J444" s="60"/>
      <c r="K444" s="60"/>
      <c r="L444" s="48"/>
      <c r="M444" s="60"/>
      <c r="N444" s="60"/>
      <c r="O444" s="48"/>
      <c r="P444" s="48"/>
      <c r="Q444" s="48"/>
    </row>
    <row r="445">
      <c r="A445" s="367"/>
      <c r="B445" s="389"/>
      <c r="C445" s="370"/>
      <c r="D445" s="388"/>
      <c r="E445" s="370"/>
      <c r="F445" s="60"/>
      <c r="G445" s="48"/>
      <c r="H445" s="60"/>
      <c r="I445" s="60"/>
      <c r="J445" s="60"/>
      <c r="K445" s="60"/>
      <c r="L445" s="48"/>
      <c r="M445" s="60"/>
      <c r="N445" s="60"/>
      <c r="O445" s="48"/>
      <c r="P445" s="48"/>
      <c r="Q445" s="48"/>
    </row>
    <row r="446">
      <c r="A446" s="367"/>
      <c r="B446" s="389"/>
      <c r="C446" s="370"/>
      <c r="D446" s="388"/>
      <c r="E446" s="370"/>
      <c r="F446" s="60"/>
      <c r="G446" s="48"/>
      <c r="H446" s="60"/>
      <c r="I446" s="60"/>
      <c r="J446" s="60"/>
      <c r="K446" s="60"/>
      <c r="L446" s="48"/>
      <c r="M446" s="60"/>
      <c r="N446" s="60"/>
      <c r="O446" s="48"/>
      <c r="P446" s="48"/>
      <c r="Q446" s="48"/>
    </row>
    <row r="447">
      <c r="A447" s="367"/>
      <c r="B447" s="389"/>
      <c r="C447" s="370"/>
      <c r="D447" s="393"/>
      <c r="E447" s="370"/>
      <c r="F447" s="60"/>
      <c r="G447" s="48"/>
      <c r="H447" s="60"/>
      <c r="I447" s="60"/>
      <c r="J447" s="60"/>
      <c r="K447" s="60"/>
      <c r="L447" s="48"/>
      <c r="M447" s="60"/>
      <c r="N447" s="60"/>
      <c r="O447" s="48"/>
      <c r="P447" s="48"/>
      <c r="Q447" s="48"/>
    </row>
    <row r="448">
      <c r="A448" s="367"/>
      <c r="B448" s="389"/>
      <c r="C448" s="370"/>
      <c r="D448" s="388"/>
      <c r="E448" s="384"/>
      <c r="F448" s="60"/>
      <c r="G448" s="48"/>
      <c r="H448" s="60"/>
      <c r="I448" s="60"/>
      <c r="J448" s="60"/>
      <c r="K448" s="60"/>
      <c r="L448" s="48"/>
      <c r="M448" s="60"/>
      <c r="N448" s="60"/>
      <c r="O448" s="48"/>
      <c r="P448" s="48"/>
      <c r="Q448" s="48"/>
    </row>
    <row r="449">
      <c r="A449" s="367"/>
      <c r="B449" s="389"/>
      <c r="C449" s="370"/>
      <c r="D449" s="388"/>
      <c r="E449" s="370"/>
      <c r="F449" s="60"/>
      <c r="G449" s="48"/>
      <c r="H449" s="60"/>
      <c r="I449" s="60"/>
      <c r="J449" s="60"/>
      <c r="K449" s="60"/>
      <c r="L449" s="48"/>
      <c r="M449" s="60"/>
      <c r="N449" s="60"/>
      <c r="O449" s="48"/>
      <c r="P449" s="48"/>
      <c r="Q449" s="48"/>
    </row>
    <row r="450">
      <c r="A450" s="367"/>
      <c r="B450" s="389"/>
      <c r="C450" s="370"/>
      <c r="D450" s="388"/>
      <c r="E450" s="384"/>
      <c r="F450" s="60"/>
      <c r="G450" s="48"/>
      <c r="H450" s="60"/>
      <c r="I450" s="60"/>
      <c r="J450" s="60"/>
      <c r="K450" s="60"/>
      <c r="L450" s="48"/>
      <c r="M450" s="60"/>
      <c r="N450" s="60"/>
      <c r="O450" s="48"/>
      <c r="P450" s="48"/>
      <c r="Q450" s="48"/>
    </row>
    <row r="451">
      <c r="A451" s="367"/>
      <c r="B451" s="389"/>
      <c r="C451" s="370"/>
      <c r="D451" s="388"/>
      <c r="E451" s="370"/>
      <c r="F451" s="60"/>
      <c r="G451" s="48"/>
      <c r="H451" s="60"/>
      <c r="I451" s="60"/>
      <c r="J451" s="60"/>
      <c r="K451" s="60"/>
      <c r="L451" s="48"/>
      <c r="M451" s="60"/>
      <c r="N451" s="60"/>
      <c r="O451" s="48"/>
      <c r="P451" s="48"/>
      <c r="Q451" s="48"/>
    </row>
    <row r="452">
      <c r="A452" s="367"/>
      <c r="B452" s="389"/>
      <c r="C452" s="370"/>
      <c r="D452" s="388"/>
      <c r="E452" s="370"/>
      <c r="F452" s="60"/>
      <c r="G452" s="48"/>
      <c r="H452" s="60"/>
      <c r="I452" s="60"/>
      <c r="J452" s="60"/>
      <c r="K452" s="60"/>
      <c r="L452" s="48"/>
      <c r="M452" s="60"/>
      <c r="N452" s="60"/>
      <c r="O452" s="48"/>
      <c r="P452" s="48"/>
      <c r="Q452" s="48"/>
    </row>
    <row r="453">
      <c r="A453" s="392"/>
      <c r="B453" s="389"/>
      <c r="C453" s="370"/>
      <c r="D453" s="388"/>
      <c r="E453" s="383"/>
      <c r="F453" s="60"/>
      <c r="G453" s="48"/>
      <c r="H453" s="60"/>
      <c r="I453" s="60"/>
      <c r="J453" s="60"/>
      <c r="K453" s="60"/>
      <c r="L453" s="48"/>
      <c r="M453" s="60"/>
      <c r="N453" s="60"/>
      <c r="O453" s="48"/>
      <c r="P453" s="48"/>
      <c r="Q453" s="48"/>
    </row>
    <row r="454">
      <c r="A454" s="392"/>
      <c r="B454" s="389"/>
      <c r="C454" s="370"/>
      <c r="D454" s="388"/>
      <c r="E454" s="370"/>
      <c r="F454" s="60"/>
      <c r="G454" s="48"/>
      <c r="H454" s="60"/>
      <c r="I454" s="60"/>
      <c r="J454" s="60"/>
      <c r="K454" s="60"/>
      <c r="L454" s="48"/>
      <c r="M454" s="60"/>
      <c r="N454" s="60"/>
      <c r="O454" s="48"/>
      <c r="P454" s="48"/>
      <c r="Q454" s="48"/>
    </row>
    <row r="455">
      <c r="A455" s="367"/>
      <c r="B455" s="389"/>
      <c r="C455" s="370"/>
      <c r="D455" s="388"/>
      <c r="E455" s="370"/>
      <c r="F455" s="60"/>
      <c r="G455" s="48"/>
      <c r="H455" s="60"/>
      <c r="I455" s="60"/>
      <c r="J455" s="60"/>
      <c r="K455" s="60"/>
      <c r="L455" s="48"/>
      <c r="M455" s="60"/>
      <c r="N455" s="60"/>
      <c r="O455" s="48"/>
      <c r="P455" s="48"/>
      <c r="Q455" s="48"/>
    </row>
    <row r="456">
      <c r="A456" s="392"/>
      <c r="B456" s="389"/>
      <c r="C456" s="370"/>
      <c r="D456" s="388"/>
      <c r="E456" s="384"/>
      <c r="F456" s="60"/>
      <c r="G456" s="48"/>
      <c r="H456" s="60"/>
      <c r="I456" s="60"/>
      <c r="J456" s="60"/>
      <c r="K456" s="60"/>
      <c r="L456" s="48"/>
      <c r="M456" s="60"/>
      <c r="N456" s="60"/>
      <c r="O456" s="48"/>
      <c r="P456" s="48"/>
      <c r="Q456" s="48"/>
    </row>
    <row r="457">
      <c r="A457" s="392"/>
      <c r="B457" s="389"/>
      <c r="C457" s="370"/>
      <c r="D457" s="388"/>
      <c r="E457" s="383"/>
      <c r="F457" s="60"/>
      <c r="G457" s="48"/>
      <c r="H457" s="60"/>
      <c r="I457" s="60"/>
      <c r="J457" s="60"/>
      <c r="K457" s="60"/>
      <c r="L457" s="48"/>
      <c r="M457" s="60"/>
      <c r="N457" s="60"/>
      <c r="O457" s="48"/>
      <c r="P457" s="48"/>
      <c r="Q457" s="48"/>
    </row>
    <row r="458">
      <c r="A458" s="392"/>
      <c r="B458" s="389"/>
      <c r="C458" s="370"/>
      <c r="D458" s="388"/>
      <c r="E458" s="370"/>
      <c r="F458" s="60"/>
      <c r="G458" s="48"/>
      <c r="H458" s="60"/>
      <c r="I458" s="60"/>
      <c r="J458" s="60"/>
      <c r="K458" s="60"/>
      <c r="L458" s="48"/>
      <c r="M458" s="60"/>
      <c r="N458" s="60"/>
      <c r="O458" s="48"/>
      <c r="P458" s="48"/>
      <c r="Q458" s="48"/>
    </row>
    <row r="459">
      <c r="A459" s="360"/>
      <c r="B459" s="360"/>
      <c r="C459" s="361"/>
      <c r="D459" s="360"/>
      <c r="E459" s="362"/>
      <c r="F459" s="60"/>
      <c r="G459" s="48"/>
      <c r="H459" s="60"/>
      <c r="I459" s="60"/>
      <c r="J459" s="60"/>
      <c r="K459" s="60"/>
      <c r="L459" s="48"/>
      <c r="M459" s="60"/>
      <c r="N459" s="60"/>
      <c r="O459" s="48"/>
      <c r="P459" s="48"/>
      <c r="Q459" s="48"/>
    </row>
    <row r="460">
      <c r="A460" s="367"/>
      <c r="B460" s="389"/>
      <c r="C460" s="370"/>
      <c r="D460" s="388"/>
      <c r="E460" s="370"/>
      <c r="F460" s="60"/>
      <c r="G460" s="48"/>
      <c r="H460" s="60"/>
      <c r="I460" s="60"/>
      <c r="J460" s="60"/>
      <c r="K460" s="60"/>
      <c r="L460" s="48"/>
      <c r="M460" s="60"/>
      <c r="N460" s="60"/>
      <c r="O460" s="48"/>
      <c r="P460" s="48"/>
      <c r="Q460" s="48"/>
    </row>
    <row r="461">
      <c r="A461" s="367"/>
      <c r="B461" s="389"/>
      <c r="C461" s="370"/>
      <c r="D461" s="393"/>
      <c r="E461" s="370"/>
      <c r="F461" s="60"/>
      <c r="G461" s="48"/>
      <c r="H461" s="60"/>
      <c r="I461" s="60"/>
      <c r="J461" s="60"/>
      <c r="K461" s="60"/>
      <c r="L461" s="48"/>
      <c r="M461" s="60"/>
      <c r="N461" s="60"/>
      <c r="O461" s="48"/>
      <c r="P461" s="48"/>
      <c r="Q461" s="48"/>
    </row>
    <row r="462">
      <c r="A462" s="367"/>
      <c r="B462" s="389"/>
      <c r="C462" s="370"/>
      <c r="D462" s="388"/>
      <c r="E462" s="370"/>
      <c r="F462" s="60"/>
      <c r="G462" s="48"/>
      <c r="H462" s="60"/>
      <c r="I462" s="60"/>
      <c r="J462" s="60"/>
      <c r="K462" s="60"/>
      <c r="L462" s="48"/>
      <c r="M462" s="60"/>
      <c r="N462" s="60"/>
      <c r="O462" s="48"/>
      <c r="P462" s="48"/>
      <c r="Q462" s="48"/>
    </row>
    <row r="463">
      <c r="A463" s="367"/>
      <c r="B463" s="389"/>
      <c r="C463" s="370"/>
      <c r="D463" s="388"/>
      <c r="E463" s="370"/>
      <c r="F463" s="60"/>
      <c r="G463" s="48"/>
      <c r="H463" s="60"/>
      <c r="I463" s="60"/>
      <c r="J463" s="60"/>
      <c r="K463" s="60"/>
      <c r="L463" s="48"/>
      <c r="M463" s="60"/>
      <c r="N463" s="60"/>
      <c r="O463" s="48"/>
      <c r="P463" s="48"/>
      <c r="Q463" s="48"/>
    </row>
    <row r="464">
      <c r="A464" s="367"/>
      <c r="B464" s="389"/>
      <c r="C464" s="370"/>
      <c r="D464" s="388"/>
      <c r="E464" s="370"/>
      <c r="F464" s="60"/>
      <c r="G464" s="48"/>
      <c r="H464" s="60"/>
      <c r="I464" s="60"/>
      <c r="J464" s="60"/>
      <c r="K464" s="60"/>
      <c r="L464" s="48"/>
      <c r="M464" s="60"/>
      <c r="N464" s="60"/>
      <c r="O464" s="48"/>
      <c r="P464" s="48"/>
      <c r="Q464" s="48"/>
    </row>
    <row r="465">
      <c r="A465" s="367"/>
      <c r="B465" s="389"/>
      <c r="C465" s="370"/>
      <c r="D465" s="388"/>
      <c r="E465" s="370"/>
      <c r="F465" s="60"/>
      <c r="G465" s="48"/>
      <c r="H465" s="60"/>
      <c r="I465" s="60"/>
      <c r="J465" s="60"/>
      <c r="K465" s="60"/>
      <c r="L465" s="48"/>
      <c r="M465" s="60"/>
      <c r="N465" s="60"/>
      <c r="O465" s="48"/>
      <c r="P465" s="48"/>
      <c r="Q465" s="48"/>
    </row>
    <row r="466">
      <c r="A466" s="392"/>
      <c r="B466" s="389"/>
      <c r="C466" s="370"/>
      <c r="D466" s="388"/>
      <c r="E466" s="370"/>
      <c r="F466" s="60"/>
      <c r="G466" s="48"/>
      <c r="H466" s="60"/>
      <c r="I466" s="60"/>
      <c r="J466" s="60"/>
      <c r="K466" s="60"/>
      <c r="L466" s="48"/>
      <c r="M466" s="60"/>
      <c r="N466" s="60"/>
      <c r="O466" s="48"/>
      <c r="P466" s="48"/>
      <c r="Q466" s="48"/>
    </row>
    <row r="467">
      <c r="A467" s="392"/>
      <c r="B467" s="389"/>
      <c r="C467" s="370"/>
      <c r="D467" s="388"/>
      <c r="E467" s="384"/>
      <c r="F467" s="60"/>
      <c r="G467" s="48"/>
      <c r="H467" s="60"/>
      <c r="I467" s="60"/>
      <c r="J467" s="60"/>
      <c r="K467" s="60"/>
      <c r="L467" s="48"/>
      <c r="M467" s="60"/>
      <c r="N467" s="60"/>
      <c r="O467" s="48"/>
      <c r="P467" s="48"/>
      <c r="Q467" s="48"/>
    </row>
    <row r="468">
      <c r="A468" s="367"/>
      <c r="B468" s="389"/>
      <c r="C468" s="370"/>
      <c r="D468" s="388"/>
      <c r="E468" s="383"/>
      <c r="F468" s="60"/>
      <c r="G468" s="48"/>
      <c r="H468" s="60"/>
      <c r="I468" s="60"/>
      <c r="J468" s="60"/>
      <c r="K468" s="60"/>
      <c r="L468" s="48"/>
      <c r="M468" s="60"/>
      <c r="N468" s="60"/>
      <c r="O468" s="48"/>
      <c r="P468" s="48"/>
      <c r="Q468" s="48"/>
    </row>
    <row r="469">
      <c r="A469" s="367"/>
      <c r="B469" s="389"/>
      <c r="C469" s="370"/>
      <c r="D469" s="388"/>
      <c r="E469" s="370"/>
      <c r="F469" s="60"/>
      <c r="G469" s="48"/>
      <c r="H469" s="60"/>
      <c r="I469" s="60"/>
      <c r="J469" s="60"/>
      <c r="K469" s="60"/>
      <c r="L469" s="48"/>
      <c r="M469" s="60"/>
      <c r="N469" s="60"/>
      <c r="O469" s="48"/>
      <c r="P469" s="48"/>
      <c r="Q469" s="48"/>
    </row>
    <row r="470">
      <c r="A470" s="392"/>
      <c r="B470" s="389"/>
      <c r="C470" s="370"/>
      <c r="D470" s="388"/>
      <c r="E470" s="384"/>
      <c r="F470" s="60"/>
      <c r="G470" s="48"/>
      <c r="H470" s="60"/>
      <c r="I470" s="60"/>
      <c r="J470" s="60"/>
      <c r="K470" s="60"/>
      <c r="L470" s="48"/>
      <c r="M470" s="60"/>
      <c r="N470" s="60"/>
      <c r="O470" s="48"/>
      <c r="P470" s="48"/>
      <c r="Q470" s="48"/>
    </row>
    <row r="471">
      <c r="A471" s="367"/>
      <c r="B471" s="389"/>
      <c r="C471" s="370"/>
      <c r="D471" s="388"/>
      <c r="E471" s="384"/>
      <c r="F471" s="60"/>
      <c r="G471" s="48"/>
      <c r="H471" s="60"/>
      <c r="I471" s="60"/>
      <c r="J471" s="60"/>
      <c r="K471" s="60"/>
      <c r="L471" s="48"/>
      <c r="M471" s="60"/>
      <c r="N471" s="60"/>
      <c r="O471" s="48"/>
      <c r="P471" s="48"/>
      <c r="Q471" s="48"/>
    </row>
    <row r="472">
      <c r="A472" s="392"/>
      <c r="B472" s="389"/>
      <c r="C472" s="370"/>
      <c r="D472" s="393"/>
      <c r="E472" s="384"/>
      <c r="F472" s="60"/>
      <c r="G472" s="48"/>
      <c r="H472" s="60"/>
      <c r="I472" s="60"/>
      <c r="J472" s="60"/>
      <c r="K472" s="60"/>
      <c r="L472" s="48"/>
      <c r="M472" s="60"/>
      <c r="N472" s="60"/>
      <c r="O472" s="48"/>
      <c r="P472" s="48"/>
      <c r="Q472" s="48"/>
    </row>
    <row r="473">
      <c r="A473" s="392"/>
      <c r="B473" s="389"/>
      <c r="C473" s="370"/>
      <c r="D473" s="388"/>
      <c r="E473" s="384"/>
      <c r="F473" s="60"/>
      <c r="G473" s="48"/>
      <c r="H473" s="60"/>
      <c r="I473" s="60"/>
      <c r="J473" s="60"/>
      <c r="K473" s="60"/>
      <c r="L473" s="48"/>
      <c r="M473" s="60"/>
      <c r="N473" s="60"/>
      <c r="O473" s="48"/>
      <c r="P473" s="48"/>
      <c r="Q473" s="48"/>
    </row>
    <row r="474">
      <c r="A474" s="367"/>
      <c r="B474" s="389"/>
      <c r="C474" s="370"/>
      <c r="D474" s="388"/>
      <c r="E474" s="370"/>
      <c r="F474" s="60"/>
      <c r="G474" s="48"/>
      <c r="H474" s="60"/>
      <c r="I474" s="60"/>
      <c r="J474" s="60"/>
      <c r="K474" s="60"/>
      <c r="L474" s="48"/>
      <c r="M474" s="60"/>
      <c r="N474" s="60"/>
      <c r="O474" s="48"/>
      <c r="P474" s="48"/>
      <c r="Q474" s="48"/>
    </row>
    <row r="475">
      <c r="A475" s="392"/>
      <c r="B475" s="389"/>
      <c r="C475" s="370"/>
      <c r="D475" s="388"/>
      <c r="E475" s="370"/>
      <c r="F475" s="60"/>
      <c r="G475" s="48"/>
      <c r="H475" s="60"/>
      <c r="I475" s="60"/>
      <c r="J475" s="60"/>
      <c r="K475" s="60"/>
      <c r="L475" s="48"/>
      <c r="M475" s="60"/>
      <c r="N475" s="60"/>
      <c r="O475" s="48"/>
      <c r="P475" s="48"/>
      <c r="Q475" s="48"/>
    </row>
    <row r="476">
      <c r="A476" s="392"/>
      <c r="B476" s="389"/>
      <c r="C476" s="370"/>
      <c r="D476" s="388"/>
      <c r="E476" s="384"/>
      <c r="F476" s="60"/>
      <c r="G476" s="48"/>
      <c r="H476" s="60"/>
      <c r="I476" s="60"/>
      <c r="J476" s="60"/>
      <c r="K476" s="60"/>
      <c r="L476" s="48"/>
      <c r="M476" s="60"/>
      <c r="N476" s="60"/>
      <c r="O476" s="48"/>
      <c r="P476" s="48"/>
      <c r="Q476" s="48"/>
    </row>
    <row r="477">
      <c r="A477" s="367"/>
      <c r="B477" s="389"/>
      <c r="C477" s="370"/>
      <c r="D477" s="388"/>
      <c r="E477" s="383"/>
      <c r="F477" s="60"/>
      <c r="G477" s="48"/>
      <c r="H477" s="60"/>
      <c r="I477" s="60"/>
      <c r="J477" s="60"/>
      <c r="K477" s="60"/>
      <c r="L477" s="48"/>
      <c r="M477" s="60"/>
      <c r="N477" s="60"/>
      <c r="O477" s="48"/>
      <c r="P477" s="48"/>
      <c r="Q477" s="48"/>
    </row>
    <row r="478">
      <c r="A478" s="392"/>
      <c r="B478" s="389"/>
      <c r="C478" s="370"/>
      <c r="D478" s="388"/>
      <c r="E478" s="384"/>
      <c r="F478" s="60"/>
      <c r="G478" s="48"/>
      <c r="H478" s="60"/>
      <c r="I478" s="60"/>
      <c r="J478" s="60"/>
      <c r="K478" s="60"/>
      <c r="L478" s="48"/>
      <c r="M478" s="60"/>
      <c r="N478" s="60"/>
      <c r="O478" s="48"/>
      <c r="P478" s="48"/>
      <c r="Q478" s="48"/>
    </row>
    <row r="479">
      <c r="A479" s="392"/>
      <c r="B479" s="389"/>
      <c r="C479" s="370"/>
      <c r="D479" s="388"/>
      <c r="E479" s="383"/>
      <c r="F479" s="60"/>
      <c r="G479" s="48"/>
      <c r="H479" s="60"/>
      <c r="I479" s="60"/>
      <c r="J479" s="60"/>
      <c r="K479" s="60"/>
      <c r="L479" s="48"/>
      <c r="M479" s="60"/>
      <c r="N479" s="60"/>
      <c r="O479" s="48"/>
      <c r="P479" s="48"/>
      <c r="Q479" s="48"/>
    </row>
    <row r="480">
      <c r="A480" s="392"/>
      <c r="B480" s="389"/>
      <c r="C480" s="370"/>
      <c r="D480" s="388"/>
      <c r="E480" s="384"/>
      <c r="F480" s="60"/>
      <c r="G480" s="48"/>
      <c r="H480" s="60"/>
      <c r="I480" s="60"/>
      <c r="J480" s="60"/>
      <c r="K480" s="60"/>
      <c r="L480" s="48"/>
      <c r="M480" s="60"/>
      <c r="N480" s="60"/>
      <c r="O480" s="48"/>
      <c r="P480" s="48"/>
      <c r="Q480" s="48"/>
    </row>
    <row r="481">
      <c r="A481" s="367"/>
      <c r="B481" s="389"/>
      <c r="C481" s="370"/>
      <c r="D481" s="388"/>
      <c r="E481" s="370"/>
      <c r="F481" s="60"/>
      <c r="G481" s="48"/>
      <c r="H481" s="60"/>
      <c r="I481" s="60"/>
      <c r="J481" s="60"/>
      <c r="K481" s="60"/>
      <c r="L481" s="48"/>
      <c r="M481" s="60"/>
      <c r="N481" s="60"/>
      <c r="O481" s="48"/>
      <c r="P481" s="48"/>
      <c r="Q481" s="48"/>
    </row>
    <row r="482">
      <c r="A482" s="367"/>
      <c r="B482" s="389"/>
      <c r="C482" s="370"/>
      <c r="D482" s="388"/>
      <c r="E482" s="370"/>
      <c r="F482" s="60"/>
      <c r="G482" s="48"/>
      <c r="H482" s="60"/>
      <c r="I482" s="60"/>
      <c r="J482" s="60"/>
      <c r="K482" s="60"/>
      <c r="L482" s="48"/>
      <c r="M482" s="60"/>
      <c r="N482" s="60"/>
      <c r="O482" s="48"/>
      <c r="P482" s="48"/>
      <c r="Q482" s="48"/>
    </row>
    <row r="483">
      <c r="A483" s="392"/>
      <c r="B483" s="389"/>
      <c r="C483" s="370"/>
      <c r="D483" s="388"/>
      <c r="E483" s="384"/>
      <c r="F483" s="60"/>
      <c r="G483" s="48"/>
      <c r="H483" s="60"/>
      <c r="I483" s="60"/>
      <c r="J483" s="60"/>
      <c r="K483" s="60"/>
      <c r="L483" s="48"/>
      <c r="M483" s="60"/>
      <c r="N483" s="60"/>
      <c r="O483" s="48"/>
      <c r="P483" s="48"/>
      <c r="Q483" s="48"/>
    </row>
    <row r="484">
      <c r="A484" s="392"/>
      <c r="B484" s="389"/>
      <c r="C484" s="370"/>
      <c r="D484" s="388"/>
      <c r="E484" s="383"/>
      <c r="F484" s="60"/>
      <c r="G484" s="48"/>
      <c r="H484" s="60"/>
      <c r="I484" s="60"/>
      <c r="J484" s="60"/>
      <c r="K484" s="60"/>
      <c r="L484" s="48"/>
      <c r="M484" s="60"/>
      <c r="N484" s="60"/>
      <c r="O484" s="48"/>
      <c r="P484" s="48"/>
      <c r="Q484" s="48"/>
    </row>
    <row r="485">
      <c r="A485" s="392"/>
      <c r="B485" s="389"/>
      <c r="C485" s="370"/>
      <c r="D485" s="388"/>
      <c r="E485" s="370"/>
      <c r="F485" s="60"/>
      <c r="G485" s="48"/>
      <c r="H485" s="60"/>
      <c r="I485" s="60"/>
      <c r="J485" s="60"/>
      <c r="K485" s="60"/>
      <c r="L485" s="48"/>
      <c r="M485" s="60"/>
      <c r="N485" s="60"/>
      <c r="O485" s="48"/>
      <c r="P485" s="48"/>
      <c r="Q485" s="48"/>
    </row>
    <row r="486">
      <c r="A486" s="367"/>
      <c r="B486" s="389"/>
      <c r="C486" s="370"/>
      <c r="D486" s="388"/>
      <c r="E486" s="370"/>
      <c r="F486" s="60"/>
      <c r="G486" s="48"/>
      <c r="H486" s="60"/>
      <c r="I486" s="60"/>
      <c r="J486" s="60"/>
      <c r="K486" s="60"/>
      <c r="L486" s="48"/>
      <c r="M486" s="60"/>
      <c r="N486" s="60"/>
      <c r="O486" s="48"/>
      <c r="P486" s="48"/>
      <c r="Q486" s="48"/>
    </row>
    <row r="487">
      <c r="A487" s="367"/>
      <c r="B487" s="389"/>
      <c r="C487" s="370"/>
      <c r="D487" s="388"/>
      <c r="E487" s="370"/>
      <c r="F487" s="60"/>
      <c r="G487" s="48"/>
      <c r="H487" s="60"/>
      <c r="I487" s="60"/>
      <c r="J487" s="60"/>
      <c r="K487" s="60"/>
      <c r="L487" s="48"/>
      <c r="M487" s="60"/>
      <c r="N487" s="60"/>
      <c r="O487" s="48"/>
      <c r="P487" s="48"/>
      <c r="Q487" s="48"/>
    </row>
    <row r="488">
      <c r="A488" s="367"/>
      <c r="B488" s="389"/>
      <c r="C488" s="370"/>
      <c r="D488" s="393"/>
      <c r="E488" s="370"/>
      <c r="F488" s="60"/>
      <c r="G488" s="48"/>
      <c r="H488" s="60"/>
      <c r="I488" s="60"/>
      <c r="J488" s="60"/>
      <c r="K488" s="60"/>
      <c r="L488" s="48"/>
      <c r="M488" s="60"/>
      <c r="N488" s="60"/>
      <c r="O488" s="48"/>
      <c r="P488" s="48"/>
      <c r="Q488" s="48"/>
    </row>
    <row r="489">
      <c r="A489" s="367"/>
      <c r="B489" s="389"/>
      <c r="C489" s="370"/>
      <c r="D489" s="388"/>
      <c r="E489" s="384"/>
      <c r="F489" s="60"/>
      <c r="G489" s="48"/>
      <c r="H489" s="60"/>
      <c r="I489" s="60"/>
      <c r="J489" s="60"/>
      <c r="K489" s="60"/>
      <c r="L489" s="48"/>
      <c r="M489" s="60"/>
      <c r="N489" s="60"/>
      <c r="O489" s="48"/>
      <c r="P489" s="48"/>
      <c r="Q489" s="48"/>
    </row>
    <row r="490">
      <c r="A490" s="367"/>
      <c r="B490" s="389"/>
      <c r="C490" s="370"/>
      <c r="D490" s="388"/>
      <c r="E490" s="370"/>
      <c r="F490" s="60"/>
      <c r="G490" s="48"/>
      <c r="H490" s="60"/>
      <c r="I490" s="60"/>
      <c r="J490" s="60"/>
      <c r="K490" s="60"/>
      <c r="L490" s="48"/>
      <c r="M490" s="60"/>
      <c r="N490" s="60"/>
      <c r="O490" s="48"/>
      <c r="P490" s="48"/>
      <c r="Q490" s="48"/>
    </row>
    <row r="491">
      <c r="A491" s="367"/>
      <c r="B491" s="389"/>
      <c r="C491" s="370"/>
      <c r="D491" s="388"/>
      <c r="E491" s="384"/>
      <c r="F491" s="60"/>
      <c r="G491" s="48"/>
      <c r="H491" s="60"/>
      <c r="I491" s="60"/>
      <c r="J491" s="60"/>
      <c r="K491" s="60"/>
      <c r="L491" s="48"/>
      <c r="M491" s="60"/>
      <c r="N491" s="60"/>
      <c r="O491" s="48"/>
      <c r="P491" s="48"/>
      <c r="Q491" s="48"/>
    </row>
    <row r="492">
      <c r="A492" s="367"/>
      <c r="B492" s="389"/>
      <c r="C492" s="370"/>
      <c r="D492" s="388"/>
      <c r="E492" s="370"/>
      <c r="F492" s="60"/>
      <c r="G492" s="48"/>
      <c r="H492" s="60"/>
      <c r="I492" s="60"/>
      <c r="J492" s="60"/>
      <c r="K492" s="60"/>
      <c r="L492" s="48"/>
      <c r="M492" s="60"/>
      <c r="N492" s="60"/>
      <c r="O492" s="48"/>
      <c r="P492" s="48"/>
      <c r="Q492" s="48"/>
    </row>
    <row r="493">
      <c r="A493" s="367"/>
      <c r="B493" s="389"/>
      <c r="C493" s="370"/>
      <c r="D493" s="388"/>
      <c r="E493" s="370"/>
      <c r="F493" s="60"/>
      <c r="G493" s="48"/>
      <c r="H493" s="60"/>
      <c r="I493" s="60"/>
      <c r="J493" s="60"/>
      <c r="K493" s="60"/>
      <c r="L493" s="48"/>
      <c r="M493" s="60"/>
      <c r="N493" s="60"/>
      <c r="O493" s="48"/>
      <c r="P493" s="48"/>
      <c r="Q493" s="48"/>
    </row>
    <row r="494">
      <c r="A494" s="392"/>
      <c r="B494" s="389"/>
      <c r="C494" s="370"/>
      <c r="D494" s="388"/>
      <c r="E494" s="383"/>
      <c r="F494" s="60"/>
      <c r="G494" s="48"/>
      <c r="H494" s="60"/>
      <c r="I494" s="60"/>
      <c r="J494" s="60"/>
      <c r="K494" s="60"/>
      <c r="L494" s="48"/>
      <c r="M494" s="60"/>
      <c r="N494" s="60"/>
      <c r="O494" s="48"/>
      <c r="P494" s="48"/>
      <c r="Q494" s="48"/>
    </row>
    <row r="495">
      <c r="A495" s="392"/>
      <c r="B495" s="389"/>
      <c r="C495" s="370"/>
      <c r="D495" s="388"/>
      <c r="E495" s="370"/>
      <c r="F495" s="60"/>
      <c r="G495" s="48"/>
      <c r="H495" s="60"/>
      <c r="I495" s="60"/>
      <c r="J495" s="60"/>
      <c r="K495" s="60"/>
      <c r="L495" s="48"/>
      <c r="M495" s="60"/>
      <c r="N495" s="60"/>
      <c r="O495" s="48"/>
      <c r="P495" s="48"/>
      <c r="Q495" s="48"/>
    </row>
    <row r="496">
      <c r="A496" s="367"/>
      <c r="B496" s="389"/>
      <c r="C496" s="370"/>
      <c r="D496" s="388"/>
      <c r="E496" s="370"/>
      <c r="F496" s="60"/>
      <c r="G496" s="48"/>
      <c r="H496" s="60"/>
      <c r="I496" s="60"/>
      <c r="J496" s="60"/>
      <c r="K496" s="60"/>
      <c r="L496" s="48"/>
      <c r="M496" s="60"/>
      <c r="N496" s="60"/>
      <c r="O496" s="48"/>
      <c r="P496" s="48"/>
      <c r="Q496" s="48"/>
    </row>
    <row r="497">
      <c r="A497" s="392"/>
      <c r="B497" s="389"/>
      <c r="C497" s="370"/>
      <c r="D497" s="388"/>
      <c r="E497" s="384"/>
      <c r="F497" s="60"/>
      <c r="G497" s="48"/>
      <c r="H497" s="60"/>
      <c r="I497" s="60"/>
      <c r="J497" s="60"/>
      <c r="K497" s="60"/>
      <c r="L497" s="48"/>
      <c r="M497" s="60"/>
      <c r="N497" s="60"/>
      <c r="O497" s="48"/>
      <c r="P497" s="48"/>
      <c r="Q497" s="48"/>
    </row>
    <row r="498">
      <c r="A498" s="392"/>
      <c r="B498" s="389"/>
      <c r="C498" s="370"/>
      <c r="D498" s="388"/>
      <c r="E498" s="383"/>
      <c r="F498" s="60"/>
      <c r="G498" s="48"/>
      <c r="H498" s="60"/>
      <c r="I498" s="60"/>
      <c r="J498" s="60"/>
      <c r="K498" s="60"/>
      <c r="L498" s="48"/>
      <c r="M498" s="60"/>
      <c r="N498" s="60"/>
      <c r="O498" s="48"/>
      <c r="P498" s="48"/>
      <c r="Q498" s="48"/>
    </row>
    <row r="499">
      <c r="A499" s="392"/>
      <c r="B499" s="389"/>
      <c r="C499" s="370"/>
      <c r="D499" s="388"/>
      <c r="E499" s="370"/>
      <c r="F499" s="60"/>
      <c r="G499" s="48"/>
      <c r="H499" s="60"/>
      <c r="I499" s="60"/>
      <c r="J499" s="60"/>
      <c r="K499" s="60"/>
      <c r="L499" s="48"/>
      <c r="M499" s="60"/>
      <c r="N499" s="60"/>
      <c r="O499" s="48"/>
      <c r="P499" s="48"/>
      <c r="Q499" s="48"/>
    </row>
    <row r="500">
      <c r="A500" s="360"/>
      <c r="B500" s="360"/>
      <c r="C500" s="361"/>
      <c r="D500" s="360"/>
      <c r="E500" s="362"/>
      <c r="F500" s="60"/>
      <c r="G500" s="48"/>
      <c r="H500" s="60"/>
      <c r="I500" s="60"/>
      <c r="J500" s="60"/>
      <c r="K500" s="60"/>
      <c r="L500" s="48"/>
      <c r="M500" s="60"/>
      <c r="N500" s="60"/>
      <c r="O500" s="48"/>
      <c r="P500" s="48"/>
      <c r="Q500" s="48"/>
    </row>
    <row r="501">
      <c r="A501" s="367"/>
      <c r="B501" s="389"/>
      <c r="C501" s="370"/>
      <c r="D501" s="388"/>
      <c r="E501" s="370"/>
      <c r="F501" s="60"/>
      <c r="G501" s="48"/>
      <c r="H501" s="60"/>
      <c r="I501" s="60"/>
      <c r="J501" s="60"/>
      <c r="K501" s="60"/>
      <c r="L501" s="48"/>
      <c r="M501" s="60"/>
      <c r="N501" s="60"/>
      <c r="O501" s="48"/>
      <c r="P501" s="48"/>
      <c r="Q501" s="48"/>
    </row>
    <row r="502">
      <c r="A502" s="367"/>
      <c r="B502" s="389"/>
      <c r="C502" s="370"/>
      <c r="D502" s="393"/>
      <c r="E502" s="370"/>
      <c r="F502" s="60"/>
      <c r="G502" s="48"/>
      <c r="H502" s="60"/>
      <c r="I502" s="60"/>
      <c r="J502" s="60"/>
      <c r="K502" s="60"/>
      <c r="L502" s="48"/>
      <c r="M502" s="60"/>
      <c r="N502" s="60"/>
      <c r="O502" s="48"/>
      <c r="P502" s="48"/>
      <c r="Q502" s="48"/>
    </row>
    <row r="503">
      <c r="A503" s="367"/>
      <c r="B503" s="389"/>
      <c r="C503" s="370"/>
      <c r="D503" s="388"/>
      <c r="E503" s="370"/>
      <c r="F503" s="60"/>
      <c r="G503" s="48"/>
      <c r="H503" s="60"/>
      <c r="I503" s="60"/>
      <c r="J503" s="60"/>
      <c r="K503" s="60"/>
      <c r="L503" s="48"/>
      <c r="M503" s="60"/>
      <c r="N503" s="60"/>
      <c r="O503" s="48"/>
      <c r="P503" s="48"/>
      <c r="Q503" s="48"/>
    </row>
    <row r="504">
      <c r="A504" s="367"/>
      <c r="B504" s="389"/>
      <c r="C504" s="370"/>
      <c r="D504" s="388"/>
      <c r="E504" s="370"/>
      <c r="F504" s="60"/>
      <c r="G504" s="48"/>
      <c r="H504" s="60"/>
      <c r="I504" s="60"/>
      <c r="J504" s="60"/>
      <c r="K504" s="60"/>
      <c r="L504" s="48"/>
      <c r="M504" s="60"/>
      <c r="N504" s="60"/>
      <c r="O504" s="48"/>
      <c r="P504" s="48"/>
      <c r="Q504" s="48"/>
    </row>
    <row r="505">
      <c r="A505" s="367"/>
      <c r="B505" s="389"/>
      <c r="C505" s="370"/>
      <c r="D505" s="388"/>
      <c r="E505" s="370"/>
      <c r="F505" s="60"/>
      <c r="G505" s="48"/>
      <c r="H505" s="60"/>
      <c r="I505" s="60"/>
      <c r="J505" s="60"/>
      <c r="K505" s="60"/>
      <c r="L505" s="48"/>
      <c r="M505" s="60"/>
      <c r="N505" s="60"/>
      <c r="O505" s="48"/>
      <c r="P505" s="48"/>
      <c r="Q505" s="48"/>
    </row>
    <row r="506">
      <c r="A506" s="367"/>
      <c r="B506" s="389"/>
      <c r="C506" s="370"/>
      <c r="D506" s="388"/>
      <c r="E506" s="370"/>
      <c r="F506" s="60"/>
      <c r="G506" s="48"/>
      <c r="H506" s="60"/>
      <c r="I506" s="60"/>
      <c r="J506" s="60"/>
      <c r="K506" s="60"/>
      <c r="L506" s="48"/>
      <c r="M506" s="60"/>
      <c r="N506" s="60"/>
      <c r="O506" s="48"/>
      <c r="P506" s="48"/>
      <c r="Q506" s="48"/>
    </row>
    <row r="507">
      <c r="A507" s="392"/>
      <c r="B507" s="389"/>
      <c r="C507" s="370"/>
      <c r="D507" s="388"/>
      <c r="E507" s="370"/>
      <c r="F507" s="60"/>
      <c r="G507" s="48"/>
      <c r="H507" s="60"/>
      <c r="I507" s="60"/>
      <c r="J507" s="60"/>
      <c r="K507" s="60"/>
      <c r="L507" s="48"/>
      <c r="M507" s="60"/>
      <c r="N507" s="60"/>
      <c r="O507" s="48"/>
      <c r="P507" s="48"/>
      <c r="Q507" s="48"/>
    </row>
    <row r="508">
      <c r="A508" s="392"/>
      <c r="B508" s="389"/>
      <c r="C508" s="370"/>
      <c r="D508" s="388"/>
      <c r="E508" s="384"/>
      <c r="F508" s="60"/>
      <c r="G508" s="48"/>
      <c r="H508" s="60"/>
      <c r="I508" s="60"/>
      <c r="J508" s="60"/>
      <c r="K508" s="60"/>
      <c r="L508" s="48"/>
      <c r="M508" s="60"/>
      <c r="N508" s="60"/>
      <c r="O508" s="48"/>
      <c r="P508" s="48"/>
      <c r="Q508" s="48"/>
    </row>
    <row r="509">
      <c r="A509" s="367"/>
      <c r="B509" s="389"/>
      <c r="C509" s="370"/>
      <c r="D509" s="388"/>
      <c r="E509" s="383"/>
      <c r="F509" s="60"/>
      <c r="G509" s="48"/>
      <c r="H509" s="60"/>
      <c r="I509" s="60"/>
      <c r="J509" s="60"/>
      <c r="K509" s="60"/>
      <c r="L509" s="48"/>
      <c r="M509" s="60"/>
      <c r="N509" s="60"/>
      <c r="O509" s="48"/>
      <c r="P509" s="48"/>
      <c r="Q509" s="48"/>
    </row>
    <row r="510">
      <c r="A510" s="367"/>
      <c r="B510" s="389"/>
      <c r="C510" s="370"/>
      <c r="D510" s="388"/>
      <c r="E510" s="370"/>
      <c r="F510" s="60"/>
      <c r="G510" s="48"/>
      <c r="H510" s="60"/>
      <c r="I510" s="60"/>
      <c r="J510" s="60"/>
      <c r="K510" s="60"/>
      <c r="L510" s="48"/>
      <c r="M510" s="60"/>
      <c r="N510" s="60"/>
      <c r="O510" s="48"/>
      <c r="P510" s="48"/>
      <c r="Q510" s="48"/>
    </row>
    <row r="511">
      <c r="A511" s="392"/>
      <c r="B511" s="389"/>
      <c r="C511" s="370"/>
      <c r="D511" s="388"/>
      <c r="E511" s="384"/>
      <c r="F511" s="60"/>
      <c r="G511" s="48"/>
      <c r="H511" s="60"/>
      <c r="I511" s="60"/>
      <c r="J511" s="60"/>
      <c r="K511" s="60"/>
      <c r="L511" s="48"/>
      <c r="M511" s="60"/>
      <c r="N511" s="60"/>
      <c r="O511" s="48"/>
      <c r="P511" s="48"/>
      <c r="Q511" s="48"/>
    </row>
    <row r="512">
      <c r="A512" s="367"/>
      <c r="B512" s="389"/>
      <c r="C512" s="370"/>
      <c r="D512" s="388"/>
      <c r="E512" s="384"/>
      <c r="F512" s="60"/>
      <c r="G512" s="48"/>
      <c r="H512" s="60"/>
      <c r="I512" s="60"/>
      <c r="J512" s="60"/>
      <c r="K512" s="60"/>
      <c r="L512" s="48"/>
      <c r="M512" s="60"/>
      <c r="N512" s="60"/>
      <c r="O512" s="48"/>
      <c r="P512" s="48"/>
      <c r="Q512" s="48"/>
    </row>
    <row r="513">
      <c r="A513" s="392"/>
      <c r="B513" s="389"/>
      <c r="C513" s="370"/>
      <c r="D513" s="393"/>
      <c r="E513" s="384"/>
      <c r="F513" s="60"/>
      <c r="G513" s="48"/>
      <c r="H513" s="60"/>
      <c r="I513" s="60"/>
      <c r="J513" s="60"/>
      <c r="K513" s="60"/>
      <c r="L513" s="48"/>
      <c r="M513" s="60"/>
      <c r="N513" s="60"/>
      <c r="O513" s="48"/>
      <c r="P513" s="48"/>
      <c r="Q513" s="48"/>
    </row>
    <row r="514">
      <c r="A514" s="392"/>
      <c r="B514" s="389"/>
      <c r="C514" s="370"/>
      <c r="D514" s="388"/>
      <c r="E514" s="384"/>
      <c r="F514" s="60"/>
      <c r="G514" s="48"/>
      <c r="H514" s="60"/>
      <c r="I514" s="60"/>
      <c r="J514" s="60"/>
      <c r="K514" s="60"/>
      <c r="L514" s="48"/>
      <c r="M514" s="60"/>
      <c r="N514" s="60"/>
      <c r="O514" s="48"/>
      <c r="P514" s="48"/>
      <c r="Q514" s="48"/>
    </row>
    <row r="515">
      <c r="A515" s="367"/>
      <c r="B515" s="389"/>
      <c r="C515" s="370"/>
      <c r="D515" s="388"/>
      <c r="E515" s="370"/>
      <c r="F515" s="60"/>
      <c r="G515" s="48"/>
      <c r="H515" s="60"/>
      <c r="I515" s="60"/>
      <c r="J515" s="60"/>
      <c r="K515" s="60"/>
      <c r="L515" s="48"/>
      <c r="M515" s="60"/>
      <c r="N515" s="60"/>
      <c r="O515" s="48"/>
      <c r="P515" s="48"/>
      <c r="Q515" s="48"/>
    </row>
    <row r="516">
      <c r="A516" s="392"/>
      <c r="B516" s="389"/>
      <c r="C516" s="370"/>
      <c r="D516" s="388"/>
      <c r="E516" s="370"/>
      <c r="F516" s="60"/>
      <c r="G516" s="48"/>
      <c r="H516" s="60"/>
      <c r="I516" s="60"/>
      <c r="J516" s="60"/>
      <c r="K516" s="60"/>
      <c r="L516" s="48"/>
      <c r="M516" s="60"/>
      <c r="N516" s="60"/>
      <c r="O516" s="48"/>
      <c r="P516" s="48"/>
      <c r="Q516" s="48"/>
    </row>
    <row r="517">
      <c r="A517" s="392"/>
      <c r="B517" s="389"/>
      <c r="C517" s="370"/>
      <c r="D517" s="388"/>
      <c r="E517" s="384"/>
      <c r="F517" s="60"/>
      <c r="G517" s="48"/>
      <c r="H517" s="60"/>
      <c r="I517" s="60"/>
      <c r="J517" s="60"/>
      <c r="K517" s="60"/>
      <c r="L517" s="48"/>
      <c r="M517" s="60"/>
      <c r="N517" s="60"/>
      <c r="O517" s="48"/>
      <c r="P517" s="48"/>
      <c r="Q517" s="48"/>
    </row>
    <row r="518">
      <c r="A518" s="367"/>
      <c r="B518" s="389"/>
      <c r="C518" s="370"/>
      <c r="D518" s="388"/>
      <c r="E518" s="383"/>
      <c r="F518" s="60"/>
      <c r="G518" s="48"/>
      <c r="H518" s="60"/>
      <c r="I518" s="60"/>
      <c r="J518" s="60"/>
      <c r="K518" s="60"/>
      <c r="L518" s="48"/>
      <c r="M518" s="60"/>
      <c r="N518" s="60"/>
      <c r="O518" s="48"/>
      <c r="P518" s="48"/>
      <c r="Q518" s="48"/>
    </row>
    <row r="519">
      <c r="A519" s="392"/>
      <c r="B519" s="389"/>
      <c r="C519" s="370"/>
      <c r="D519" s="388"/>
      <c r="E519" s="384"/>
      <c r="F519" s="60"/>
      <c r="G519" s="48"/>
      <c r="H519" s="60"/>
      <c r="I519" s="60"/>
      <c r="J519" s="60"/>
      <c r="K519" s="60"/>
      <c r="L519" s="48"/>
      <c r="M519" s="60"/>
      <c r="N519" s="60"/>
      <c r="O519" s="48"/>
      <c r="P519" s="48"/>
      <c r="Q519" s="48"/>
    </row>
    <row r="520">
      <c r="A520" s="392"/>
      <c r="B520" s="389"/>
      <c r="C520" s="370"/>
      <c r="D520" s="388"/>
      <c r="E520" s="383"/>
      <c r="F520" s="60"/>
      <c r="G520" s="48"/>
      <c r="H520" s="60"/>
      <c r="I520" s="60"/>
      <c r="J520" s="60"/>
      <c r="K520" s="60"/>
      <c r="L520" s="48"/>
      <c r="M520" s="60"/>
      <c r="N520" s="60"/>
      <c r="O520" s="48"/>
      <c r="P520" s="48"/>
      <c r="Q520" s="48"/>
    </row>
    <row r="521">
      <c r="A521" s="392"/>
      <c r="B521" s="389"/>
      <c r="C521" s="370"/>
      <c r="D521" s="388"/>
      <c r="E521" s="384"/>
      <c r="F521" s="60"/>
      <c r="G521" s="48"/>
      <c r="H521" s="60"/>
      <c r="I521" s="60"/>
      <c r="J521" s="60"/>
      <c r="K521" s="60"/>
      <c r="L521" s="48"/>
      <c r="M521" s="60"/>
      <c r="N521" s="60"/>
      <c r="O521" s="48"/>
      <c r="P521" s="48"/>
      <c r="Q521" s="48"/>
    </row>
    <row r="522">
      <c r="A522" s="367"/>
      <c r="B522" s="389"/>
      <c r="C522" s="370"/>
      <c r="D522" s="388"/>
      <c r="E522" s="370"/>
      <c r="F522" s="60"/>
      <c r="G522" s="48"/>
      <c r="H522" s="60"/>
      <c r="I522" s="60"/>
      <c r="J522" s="60"/>
      <c r="K522" s="60"/>
      <c r="L522" s="48"/>
      <c r="M522" s="60"/>
      <c r="N522" s="60"/>
      <c r="O522" s="48"/>
      <c r="P522" s="48"/>
      <c r="Q522" s="48"/>
    </row>
    <row r="523">
      <c r="A523" s="367"/>
      <c r="B523" s="389"/>
      <c r="C523" s="370"/>
      <c r="D523" s="388"/>
      <c r="E523" s="370"/>
      <c r="F523" s="60"/>
      <c r="G523" s="48"/>
      <c r="H523" s="60"/>
      <c r="I523" s="60"/>
      <c r="J523" s="60"/>
      <c r="K523" s="60"/>
      <c r="L523" s="48"/>
      <c r="M523" s="60"/>
      <c r="N523" s="60"/>
      <c r="O523" s="48"/>
      <c r="P523" s="48"/>
      <c r="Q523" s="48"/>
    </row>
    <row r="524">
      <c r="A524" s="392"/>
      <c r="B524" s="389"/>
      <c r="C524" s="370"/>
      <c r="D524" s="388"/>
      <c r="E524" s="384"/>
      <c r="F524" s="60"/>
      <c r="G524" s="48"/>
      <c r="H524" s="60"/>
      <c r="I524" s="60"/>
      <c r="J524" s="60"/>
      <c r="K524" s="60"/>
      <c r="L524" s="48"/>
      <c r="M524" s="60"/>
      <c r="N524" s="60"/>
      <c r="O524" s="48"/>
      <c r="P524" s="48"/>
      <c r="Q524" s="48"/>
    </row>
    <row r="525">
      <c r="A525" s="392"/>
      <c r="B525" s="389"/>
      <c r="C525" s="370"/>
      <c r="D525" s="388"/>
      <c r="E525" s="383"/>
      <c r="F525" s="60"/>
      <c r="G525" s="48"/>
      <c r="H525" s="60"/>
      <c r="I525" s="60"/>
      <c r="J525" s="60"/>
      <c r="K525" s="60"/>
      <c r="L525" s="48"/>
      <c r="M525" s="60"/>
      <c r="N525" s="60"/>
      <c r="O525" s="48"/>
      <c r="P525" s="48"/>
      <c r="Q525" s="48"/>
    </row>
    <row r="526">
      <c r="A526" s="392"/>
      <c r="B526" s="389"/>
      <c r="C526" s="370"/>
      <c r="D526" s="388"/>
      <c r="E526" s="370"/>
      <c r="F526" s="60"/>
      <c r="G526" s="48"/>
      <c r="H526" s="60"/>
      <c r="I526" s="60"/>
      <c r="J526" s="60"/>
      <c r="K526" s="60"/>
      <c r="L526" s="48"/>
      <c r="M526" s="60"/>
      <c r="N526" s="60"/>
      <c r="O526" s="48"/>
      <c r="P526" s="48"/>
      <c r="Q526" s="48"/>
    </row>
    <row r="527">
      <c r="A527" s="367"/>
      <c r="B527" s="389"/>
      <c r="C527" s="370"/>
      <c r="D527" s="388"/>
      <c r="E527" s="370"/>
      <c r="F527" s="60"/>
      <c r="G527" s="48"/>
      <c r="H527" s="60"/>
      <c r="I527" s="60"/>
      <c r="J527" s="60"/>
      <c r="K527" s="60"/>
      <c r="L527" s="48"/>
      <c r="M527" s="60"/>
      <c r="N527" s="60"/>
      <c r="O527" s="48"/>
      <c r="P527" s="48"/>
      <c r="Q527" s="48"/>
    </row>
    <row r="528">
      <c r="A528" s="367"/>
      <c r="B528" s="389"/>
      <c r="C528" s="370"/>
      <c r="D528" s="388"/>
      <c r="E528" s="370"/>
      <c r="F528" s="60"/>
      <c r="G528" s="48"/>
      <c r="H528" s="60"/>
      <c r="I528" s="60"/>
      <c r="J528" s="60"/>
      <c r="K528" s="60"/>
      <c r="L528" s="48"/>
      <c r="M528" s="60"/>
      <c r="N528" s="60"/>
      <c r="O528" s="48"/>
      <c r="P528" s="48"/>
      <c r="Q528" s="48"/>
    </row>
    <row r="529">
      <c r="A529" s="367"/>
      <c r="B529" s="389"/>
      <c r="C529" s="370"/>
      <c r="D529" s="393"/>
      <c r="E529" s="370"/>
      <c r="F529" s="60"/>
      <c r="G529" s="48"/>
      <c r="H529" s="60"/>
      <c r="I529" s="60"/>
      <c r="J529" s="60"/>
      <c r="K529" s="60"/>
      <c r="L529" s="48"/>
      <c r="M529" s="60"/>
      <c r="N529" s="60"/>
      <c r="O529" s="48"/>
      <c r="P529" s="48"/>
      <c r="Q529" s="48"/>
    </row>
    <row r="530">
      <c r="A530" s="367"/>
      <c r="B530" s="389"/>
      <c r="C530" s="370"/>
      <c r="D530" s="388"/>
      <c r="E530" s="384"/>
      <c r="F530" s="60"/>
      <c r="G530" s="48"/>
      <c r="H530" s="60"/>
      <c r="I530" s="60"/>
      <c r="J530" s="60"/>
      <c r="K530" s="60"/>
      <c r="L530" s="48"/>
      <c r="M530" s="60"/>
      <c r="N530" s="60"/>
      <c r="O530" s="48"/>
      <c r="P530" s="48"/>
      <c r="Q530" s="48"/>
    </row>
    <row r="531">
      <c r="A531" s="367"/>
      <c r="B531" s="389"/>
      <c r="C531" s="370"/>
      <c r="D531" s="388"/>
      <c r="E531" s="370"/>
      <c r="F531" s="60"/>
      <c r="G531" s="48"/>
      <c r="H531" s="60"/>
      <c r="I531" s="60"/>
      <c r="J531" s="60"/>
      <c r="K531" s="60"/>
      <c r="L531" s="48"/>
      <c r="M531" s="60"/>
      <c r="N531" s="60"/>
      <c r="O531" s="48"/>
      <c r="P531" s="48"/>
      <c r="Q531" s="48"/>
    </row>
    <row r="532">
      <c r="A532" s="367"/>
      <c r="B532" s="389"/>
      <c r="C532" s="370"/>
      <c r="D532" s="388"/>
      <c r="E532" s="384"/>
      <c r="F532" s="60"/>
      <c r="G532" s="48"/>
      <c r="H532" s="60"/>
      <c r="I532" s="60"/>
      <c r="J532" s="60"/>
      <c r="K532" s="60"/>
      <c r="L532" s="48"/>
      <c r="M532" s="60"/>
      <c r="N532" s="60"/>
      <c r="O532" s="48"/>
      <c r="P532" s="48"/>
      <c r="Q532" s="48"/>
    </row>
    <row r="533">
      <c r="A533" s="367"/>
      <c r="B533" s="389"/>
      <c r="C533" s="370"/>
      <c r="D533" s="388"/>
      <c r="E533" s="370"/>
      <c r="F533" s="60"/>
      <c r="G533" s="48"/>
      <c r="H533" s="60"/>
      <c r="I533" s="60"/>
      <c r="J533" s="60"/>
      <c r="K533" s="60"/>
      <c r="L533" s="48"/>
      <c r="M533" s="60"/>
      <c r="N533" s="60"/>
      <c r="O533" s="48"/>
      <c r="P533" s="48"/>
      <c r="Q533" s="48"/>
    </row>
    <row r="534">
      <c r="A534" s="367"/>
      <c r="B534" s="389"/>
      <c r="C534" s="370"/>
      <c r="D534" s="388"/>
      <c r="E534" s="370"/>
      <c r="F534" s="60"/>
      <c r="G534" s="48"/>
      <c r="H534" s="60"/>
      <c r="I534" s="60"/>
      <c r="J534" s="60"/>
      <c r="K534" s="60"/>
      <c r="L534" s="48"/>
      <c r="M534" s="60"/>
      <c r="N534" s="60"/>
      <c r="O534" s="48"/>
      <c r="P534" s="48"/>
      <c r="Q534" s="48"/>
    </row>
    <row r="535">
      <c r="A535" s="392"/>
      <c r="B535" s="389"/>
      <c r="C535" s="370"/>
      <c r="D535" s="388"/>
      <c r="E535" s="383"/>
      <c r="F535" s="60"/>
      <c r="G535" s="48"/>
      <c r="H535" s="60"/>
      <c r="I535" s="60"/>
      <c r="J535" s="60"/>
      <c r="K535" s="60"/>
      <c r="L535" s="48"/>
      <c r="M535" s="60"/>
      <c r="N535" s="60"/>
      <c r="O535" s="48"/>
      <c r="P535" s="48"/>
      <c r="Q535" s="48"/>
    </row>
    <row r="536">
      <c r="A536" s="392"/>
      <c r="B536" s="389"/>
      <c r="C536" s="370"/>
      <c r="D536" s="388"/>
      <c r="E536" s="370"/>
      <c r="F536" s="60"/>
      <c r="G536" s="48"/>
      <c r="H536" s="60"/>
      <c r="I536" s="60"/>
      <c r="J536" s="60"/>
      <c r="K536" s="60"/>
      <c r="L536" s="48"/>
      <c r="M536" s="60"/>
      <c r="N536" s="60"/>
      <c r="O536" s="48"/>
      <c r="P536" s="48"/>
      <c r="Q536" s="48"/>
    </row>
    <row r="537">
      <c r="A537" s="367"/>
      <c r="B537" s="389"/>
      <c r="C537" s="370"/>
      <c r="D537" s="388"/>
      <c r="E537" s="370"/>
      <c r="F537" s="60"/>
      <c r="G537" s="48"/>
      <c r="H537" s="60"/>
      <c r="I537" s="60"/>
      <c r="J537" s="60"/>
      <c r="K537" s="60"/>
      <c r="L537" s="48"/>
      <c r="M537" s="60"/>
      <c r="N537" s="60"/>
      <c r="O537" s="48"/>
      <c r="P537" s="48"/>
      <c r="Q537" s="48"/>
    </row>
    <row r="538">
      <c r="A538" s="392"/>
      <c r="B538" s="389"/>
      <c r="C538" s="370"/>
      <c r="D538" s="388"/>
      <c r="E538" s="384"/>
      <c r="F538" s="60"/>
      <c r="G538" s="48"/>
      <c r="H538" s="60"/>
      <c r="I538" s="60"/>
      <c r="J538" s="60"/>
      <c r="K538" s="60"/>
      <c r="L538" s="48"/>
      <c r="M538" s="60"/>
      <c r="N538" s="60"/>
      <c r="O538" s="48"/>
      <c r="P538" s="48"/>
      <c r="Q538" s="48"/>
    </row>
    <row r="539">
      <c r="A539" s="392"/>
      <c r="B539" s="389"/>
      <c r="C539" s="370"/>
      <c r="D539" s="388"/>
      <c r="E539" s="383"/>
      <c r="F539" s="60"/>
      <c r="G539" s="48"/>
      <c r="H539" s="60"/>
      <c r="I539" s="60"/>
      <c r="J539" s="60"/>
      <c r="K539" s="60"/>
      <c r="L539" s="48"/>
      <c r="M539" s="60"/>
      <c r="N539" s="60"/>
      <c r="O539" s="48"/>
      <c r="P539" s="48"/>
      <c r="Q539" s="48"/>
    </row>
    <row r="540">
      <c r="A540" s="392"/>
      <c r="B540" s="389"/>
      <c r="C540" s="370"/>
      <c r="D540" s="388"/>
      <c r="E540" s="370"/>
      <c r="F540" s="60"/>
      <c r="G540" s="48"/>
      <c r="H540" s="60"/>
      <c r="I540" s="60"/>
      <c r="J540" s="60"/>
      <c r="K540" s="60"/>
      <c r="L540" s="48"/>
      <c r="M540" s="60"/>
      <c r="N540" s="60"/>
      <c r="O540" s="48"/>
      <c r="P540" s="48"/>
      <c r="Q540" s="48"/>
    </row>
    <row r="541">
      <c r="A541" s="360"/>
      <c r="B541" s="360"/>
      <c r="C541" s="361"/>
      <c r="D541" s="360"/>
      <c r="E541" s="362"/>
      <c r="F541" s="60"/>
      <c r="G541" s="48"/>
      <c r="H541" s="60"/>
      <c r="I541" s="60"/>
      <c r="J541" s="60"/>
      <c r="K541" s="60"/>
      <c r="L541" s="48"/>
      <c r="M541" s="60"/>
      <c r="N541" s="60"/>
      <c r="O541" s="48"/>
      <c r="P541" s="48"/>
      <c r="Q541" s="48"/>
    </row>
    <row r="542">
      <c r="A542" s="367"/>
      <c r="B542" s="389"/>
      <c r="C542" s="370"/>
      <c r="D542" s="388"/>
      <c r="E542" s="370"/>
      <c r="F542" s="60"/>
      <c r="G542" s="48"/>
      <c r="H542" s="60"/>
      <c r="I542" s="60"/>
      <c r="J542" s="60"/>
      <c r="K542" s="60"/>
      <c r="L542" s="48"/>
      <c r="M542" s="60"/>
      <c r="N542" s="60"/>
      <c r="O542" s="48"/>
      <c r="P542" s="48"/>
      <c r="Q542" s="48"/>
    </row>
    <row r="543">
      <c r="A543" s="367"/>
      <c r="B543" s="389"/>
      <c r="C543" s="370"/>
      <c r="D543" s="393"/>
      <c r="E543" s="370"/>
      <c r="F543" s="60"/>
      <c r="G543" s="48"/>
      <c r="H543" s="60"/>
      <c r="I543" s="60"/>
      <c r="J543" s="60"/>
      <c r="K543" s="60"/>
      <c r="L543" s="48"/>
      <c r="M543" s="60"/>
      <c r="N543" s="60"/>
      <c r="O543" s="48"/>
      <c r="P543" s="48"/>
      <c r="Q543" s="48"/>
    </row>
    <row r="544">
      <c r="A544" s="367"/>
      <c r="B544" s="389"/>
      <c r="C544" s="370"/>
      <c r="D544" s="388"/>
      <c r="E544" s="370"/>
      <c r="F544" s="60"/>
      <c r="G544" s="48"/>
      <c r="H544" s="60"/>
      <c r="I544" s="60"/>
      <c r="J544" s="60"/>
      <c r="K544" s="60"/>
      <c r="L544" s="48"/>
      <c r="M544" s="60"/>
      <c r="N544" s="60"/>
      <c r="O544" s="48"/>
      <c r="P544" s="48"/>
      <c r="Q544" s="48"/>
    </row>
    <row r="545">
      <c r="A545" s="367"/>
      <c r="B545" s="389"/>
      <c r="C545" s="370"/>
      <c r="D545" s="388"/>
      <c r="E545" s="370"/>
      <c r="F545" s="60"/>
      <c r="G545" s="48"/>
      <c r="H545" s="60"/>
      <c r="I545" s="60"/>
      <c r="J545" s="60"/>
      <c r="K545" s="60"/>
      <c r="L545" s="48"/>
      <c r="M545" s="60"/>
      <c r="N545" s="60"/>
      <c r="O545" s="48"/>
      <c r="P545" s="48"/>
      <c r="Q545" s="48"/>
    </row>
    <row r="546">
      <c r="A546" s="367"/>
      <c r="B546" s="389"/>
      <c r="C546" s="370"/>
      <c r="D546" s="388"/>
      <c r="E546" s="370"/>
      <c r="F546" s="60"/>
      <c r="G546" s="48"/>
      <c r="H546" s="60"/>
      <c r="I546" s="60"/>
      <c r="J546" s="60"/>
      <c r="K546" s="60"/>
      <c r="L546" s="48"/>
      <c r="M546" s="60"/>
      <c r="N546" s="60"/>
      <c r="O546" s="48"/>
      <c r="P546" s="48"/>
      <c r="Q546" s="48"/>
    </row>
    <row r="547">
      <c r="A547" s="367"/>
      <c r="B547" s="389"/>
      <c r="C547" s="370"/>
      <c r="D547" s="388"/>
      <c r="E547" s="370"/>
      <c r="F547" s="60"/>
      <c r="G547" s="48"/>
      <c r="H547" s="60"/>
      <c r="I547" s="60"/>
      <c r="J547" s="60"/>
      <c r="K547" s="60"/>
      <c r="L547" s="48"/>
      <c r="M547" s="60"/>
      <c r="N547" s="60"/>
      <c r="O547" s="48"/>
      <c r="P547" s="48"/>
      <c r="Q547" s="48"/>
    </row>
    <row r="548">
      <c r="A548" s="392"/>
      <c r="B548" s="389"/>
      <c r="C548" s="370"/>
      <c r="D548" s="388"/>
      <c r="E548" s="370"/>
      <c r="F548" s="60"/>
      <c r="G548" s="48"/>
      <c r="H548" s="60"/>
      <c r="I548" s="60"/>
      <c r="J548" s="60"/>
      <c r="K548" s="60"/>
      <c r="L548" s="48"/>
      <c r="M548" s="60"/>
      <c r="N548" s="60"/>
      <c r="O548" s="48"/>
      <c r="P548" s="48"/>
      <c r="Q548" s="48"/>
    </row>
    <row r="549">
      <c r="A549" s="392"/>
      <c r="B549" s="389"/>
      <c r="C549" s="370"/>
      <c r="D549" s="388"/>
      <c r="E549" s="384"/>
      <c r="F549" s="60"/>
      <c r="G549" s="48"/>
      <c r="H549" s="60"/>
      <c r="I549" s="60"/>
      <c r="J549" s="60"/>
      <c r="K549" s="60"/>
      <c r="L549" s="48"/>
      <c r="M549" s="60"/>
      <c r="N549" s="60"/>
      <c r="O549" s="48"/>
      <c r="P549" s="48"/>
      <c r="Q549" s="48"/>
    </row>
    <row r="550">
      <c r="A550" s="367"/>
      <c r="B550" s="389"/>
      <c r="C550" s="370"/>
      <c r="D550" s="388"/>
      <c r="E550" s="383"/>
      <c r="F550" s="60"/>
      <c r="G550" s="48"/>
      <c r="H550" s="60"/>
      <c r="I550" s="60"/>
      <c r="J550" s="60"/>
      <c r="K550" s="60"/>
      <c r="L550" s="48"/>
      <c r="M550" s="60"/>
      <c r="N550" s="60"/>
      <c r="O550" s="48"/>
      <c r="P550" s="48"/>
      <c r="Q550" s="48"/>
    </row>
    <row r="551">
      <c r="A551" s="367"/>
      <c r="B551" s="389"/>
      <c r="C551" s="370"/>
      <c r="D551" s="388"/>
      <c r="E551" s="370"/>
      <c r="F551" s="60"/>
      <c r="G551" s="48"/>
      <c r="H551" s="60"/>
      <c r="I551" s="60"/>
      <c r="J551" s="60"/>
      <c r="K551" s="60"/>
      <c r="L551" s="48"/>
      <c r="M551" s="60"/>
      <c r="N551" s="60"/>
      <c r="O551" s="48"/>
      <c r="P551" s="48"/>
      <c r="Q551" s="48"/>
    </row>
    <row r="552">
      <c r="A552" s="392"/>
      <c r="B552" s="389"/>
      <c r="C552" s="370"/>
      <c r="D552" s="388"/>
      <c r="E552" s="384"/>
      <c r="F552" s="60"/>
      <c r="G552" s="48"/>
      <c r="H552" s="60"/>
      <c r="I552" s="60"/>
      <c r="J552" s="60"/>
      <c r="K552" s="60"/>
      <c r="L552" s="48"/>
      <c r="M552" s="60"/>
      <c r="N552" s="60"/>
      <c r="O552" s="48"/>
      <c r="P552" s="48"/>
      <c r="Q552" s="48"/>
    </row>
    <row r="553">
      <c r="A553" s="367"/>
      <c r="B553" s="389"/>
      <c r="C553" s="370"/>
      <c r="D553" s="388"/>
      <c r="E553" s="384"/>
      <c r="F553" s="60"/>
      <c r="G553" s="48"/>
      <c r="H553" s="60"/>
      <c r="I553" s="60"/>
      <c r="J553" s="60"/>
      <c r="K553" s="60"/>
      <c r="L553" s="48"/>
      <c r="M553" s="60"/>
      <c r="N553" s="60"/>
      <c r="O553" s="48"/>
      <c r="P553" s="48"/>
      <c r="Q553" s="48"/>
    </row>
    <row r="554">
      <c r="A554" s="392"/>
      <c r="B554" s="389"/>
      <c r="C554" s="370"/>
      <c r="D554" s="393"/>
      <c r="E554" s="384"/>
      <c r="F554" s="60"/>
      <c r="G554" s="48"/>
      <c r="H554" s="60"/>
      <c r="I554" s="60"/>
      <c r="J554" s="60"/>
      <c r="K554" s="60"/>
      <c r="L554" s="48"/>
      <c r="M554" s="60"/>
      <c r="N554" s="60"/>
      <c r="O554" s="48"/>
      <c r="P554" s="48"/>
      <c r="Q554" s="48"/>
    </row>
    <row r="555">
      <c r="A555" s="392"/>
      <c r="B555" s="389"/>
      <c r="C555" s="370"/>
      <c r="D555" s="388"/>
      <c r="E555" s="384"/>
      <c r="F555" s="60"/>
      <c r="G555" s="48"/>
      <c r="H555" s="60"/>
      <c r="I555" s="60"/>
      <c r="J555" s="60"/>
      <c r="K555" s="60"/>
      <c r="L555" s="48"/>
      <c r="M555" s="60"/>
      <c r="N555" s="60"/>
      <c r="O555" s="48"/>
      <c r="P555" s="48"/>
      <c r="Q555" s="48"/>
    </row>
    <row r="556">
      <c r="A556" s="367"/>
      <c r="B556" s="389"/>
      <c r="C556" s="370"/>
      <c r="D556" s="388"/>
      <c r="E556" s="370"/>
      <c r="F556" s="60"/>
      <c r="G556" s="48"/>
      <c r="H556" s="60"/>
      <c r="I556" s="60"/>
      <c r="J556" s="60"/>
      <c r="K556" s="60"/>
      <c r="L556" s="48"/>
      <c r="M556" s="60"/>
      <c r="N556" s="60"/>
      <c r="O556" s="48"/>
      <c r="P556" s="48"/>
      <c r="Q556" s="48"/>
    </row>
    <row r="557">
      <c r="A557" s="392"/>
      <c r="B557" s="389"/>
      <c r="C557" s="370"/>
      <c r="D557" s="388"/>
      <c r="E557" s="370"/>
      <c r="F557" s="60"/>
      <c r="G557" s="48"/>
      <c r="H557" s="60"/>
      <c r="I557" s="60"/>
      <c r="J557" s="60"/>
      <c r="K557" s="60"/>
      <c r="L557" s="48"/>
      <c r="M557" s="60"/>
      <c r="N557" s="60"/>
      <c r="O557" s="48"/>
      <c r="P557" s="48"/>
      <c r="Q557" s="48"/>
    </row>
    <row r="558">
      <c r="A558" s="392"/>
      <c r="B558" s="389"/>
      <c r="C558" s="370"/>
      <c r="D558" s="388"/>
      <c r="E558" s="384"/>
      <c r="F558" s="60"/>
      <c r="G558" s="48"/>
      <c r="H558" s="60"/>
      <c r="I558" s="60"/>
      <c r="J558" s="60"/>
      <c r="K558" s="60"/>
      <c r="L558" s="48"/>
      <c r="M558" s="60"/>
      <c r="N558" s="60"/>
      <c r="O558" s="48"/>
      <c r="P558" s="48"/>
      <c r="Q558" s="48"/>
    </row>
    <row r="559">
      <c r="A559" s="367"/>
      <c r="B559" s="389"/>
      <c r="C559" s="370"/>
      <c r="D559" s="388"/>
      <c r="E559" s="383"/>
      <c r="F559" s="60"/>
      <c r="G559" s="48"/>
      <c r="H559" s="60"/>
      <c r="I559" s="60"/>
      <c r="J559" s="60"/>
      <c r="K559" s="60"/>
      <c r="L559" s="48"/>
      <c r="M559" s="60"/>
      <c r="N559" s="60"/>
      <c r="O559" s="48"/>
      <c r="P559" s="48"/>
      <c r="Q559" s="48"/>
    </row>
    <row r="560">
      <c r="A560" s="392"/>
      <c r="B560" s="389"/>
      <c r="C560" s="370"/>
      <c r="D560" s="388"/>
      <c r="E560" s="384"/>
      <c r="F560" s="60"/>
      <c r="G560" s="48"/>
      <c r="H560" s="60"/>
      <c r="I560" s="60"/>
      <c r="J560" s="60"/>
      <c r="K560" s="60"/>
      <c r="L560" s="48"/>
      <c r="M560" s="60"/>
      <c r="N560" s="60"/>
      <c r="O560" s="48"/>
      <c r="P560" s="48"/>
      <c r="Q560" s="48"/>
    </row>
    <row r="561">
      <c r="A561" s="392"/>
      <c r="B561" s="389"/>
      <c r="C561" s="370"/>
      <c r="D561" s="388"/>
      <c r="E561" s="383"/>
      <c r="F561" s="60"/>
      <c r="G561" s="48"/>
      <c r="H561" s="60"/>
      <c r="I561" s="60"/>
      <c r="J561" s="60"/>
      <c r="K561" s="60"/>
      <c r="L561" s="48"/>
      <c r="M561" s="60"/>
      <c r="N561" s="60"/>
      <c r="O561" s="48"/>
      <c r="P561" s="48"/>
      <c r="Q561" s="48"/>
    </row>
    <row r="562">
      <c r="A562" s="392"/>
      <c r="B562" s="389"/>
      <c r="C562" s="370"/>
      <c r="D562" s="388"/>
      <c r="E562" s="384"/>
      <c r="F562" s="60"/>
      <c r="G562" s="48"/>
      <c r="H562" s="60"/>
      <c r="I562" s="60"/>
      <c r="J562" s="60"/>
      <c r="K562" s="60"/>
      <c r="L562" s="48"/>
      <c r="M562" s="60"/>
      <c r="N562" s="60"/>
      <c r="O562" s="48"/>
      <c r="P562" s="48"/>
      <c r="Q562" s="48"/>
    </row>
    <row r="563">
      <c r="A563" s="367"/>
      <c r="B563" s="389"/>
      <c r="C563" s="370"/>
      <c r="D563" s="388"/>
      <c r="E563" s="370"/>
      <c r="F563" s="60"/>
      <c r="G563" s="48"/>
      <c r="H563" s="60"/>
      <c r="I563" s="60"/>
      <c r="J563" s="60"/>
      <c r="K563" s="60"/>
      <c r="L563" s="48"/>
      <c r="M563" s="60"/>
      <c r="N563" s="60"/>
      <c r="O563" s="48"/>
      <c r="P563" s="48"/>
      <c r="Q563" s="48"/>
    </row>
    <row r="564">
      <c r="A564" s="367"/>
      <c r="B564" s="389"/>
      <c r="C564" s="370"/>
      <c r="D564" s="388"/>
      <c r="E564" s="370"/>
      <c r="F564" s="60"/>
      <c r="G564" s="48"/>
      <c r="H564" s="60"/>
      <c r="I564" s="60"/>
      <c r="J564" s="60"/>
      <c r="K564" s="60"/>
      <c r="L564" s="48"/>
      <c r="M564" s="60"/>
      <c r="N564" s="60"/>
      <c r="O564" s="48"/>
      <c r="P564" s="48"/>
      <c r="Q564" s="48"/>
    </row>
    <row r="565">
      <c r="A565" s="392"/>
      <c r="B565" s="389"/>
      <c r="C565" s="370"/>
      <c r="D565" s="388"/>
      <c r="E565" s="384"/>
      <c r="F565" s="60"/>
      <c r="G565" s="48"/>
      <c r="H565" s="60"/>
      <c r="I565" s="60"/>
      <c r="J565" s="60"/>
      <c r="K565" s="60"/>
      <c r="L565" s="48"/>
      <c r="M565" s="60"/>
      <c r="N565" s="60"/>
      <c r="O565" s="48"/>
      <c r="P565" s="48"/>
      <c r="Q565" s="48"/>
    </row>
    <row r="566">
      <c r="A566" s="392"/>
      <c r="B566" s="389"/>
      <c r="C566" s="370"/>
      <c r="D566" s="388"/>
      <c r="E566" s="383"/>
      <c r="F566" s="60"/>
      <c r="G566" s="48"/>
      <c r="H566" s="60"/>
      <c r="I566" s="60"/>
      <c r="J566" s="60"/>
      <c r="K566" s="60"/>
      <c r="L566" s="48"/>
      <c r="M566" s="60"/>
      <c r="N566" s="60"/>
      <c r="O566" s="48"/>
      <c r="P566" s="48"/>
      <c r="Q566" s="48"/>
    </row>
    <row r="567">
      <c r="A567" s="392"/>
      <c r="B567" s="389"/>
      <c r="C567" s="370"/>
      <c r="D567" s="388"/>
      <c r="E567" s="370"/>
      <c r="F567" s="60"/>
      <c r="G567" s="48"/>
      <c r="H567" s="60"/>
      <c r="I567" s="60"/>
      <c r="J567" s="60"/>
      <c r="K567" s="60"/>
      <c r="L567" s="48"/>
      <c r="M567" s="60"/>
      <c r="N567" s="60"/>
      <c r="O567" s="48"/>
      <c r="P567" s="48"/>
      <c r="Q567" s="48"/>
    </row>
    <row r="568">
      <c r="A568" s="367"/>
      <c r="B568" s="389"/>
      <c r="C568" s="370"/>
      <c r="D568" s="388"/>
      <c r="E568" s="370"/>
      <c r="F568" s="60"/>
      <c r="G568" s="48"/>
      <c r="H568" s="60"/>
      <c r="I568" s="60"/>
      <c r="J568" s="60"/>
      <c r="K568" s="60"/>
      <c r="L568" s="48"/>
      <c r="M568" s="60"/>
      <c r="N568" s="60"/>
      <c r="O568" s="48"/>
      <c r="P568" s="48"/>
      <c r="Q568" s="48"/>
    </row>
    <row r="569">
      <c r="A569" s="367"/>
      <c r="B569" s="389"/>
      <c r="C569" s="370"/>
      <c r="D569" s="388"/>
      <c r="E569" s="370"/>
      <c r="F569" s="60"/>
      <c r="G569" s="48"/>
      <c r="H569" s="60"/>
      <c r="I569" s="60"/>
      <c r="J569" s="60"/>
      <c r="K569" s="60"/>
      <c r="L569" s="48"/>
      <c r="M569" s="60"/>
      <c r="N569" s="60"/>
      <c r="O569" s="48"/>
      <c r="P569" s="48"/>
      <c r="Q569" s="48"/>
    </row>
    <row r="570">
      <c r="A570" s="367"/>
      <c r="B570" s="389"/>
      <c r="C570" s="370"/>
      <c r="D570" s="393"/>
      <c r="E570" s="370"/>
      <c r="F570" s="60"/>
      <c r="G570" s="48"/>
      <c r="H570" s="60"/>
      <c r="I570" s="60"/>
      <c r="J570" s="60"/>
      <c r="K570" s="60"/>
      <c r="L570" s="48"/>
      <c r="M570" s="60"/>
      <c r="N570" s="60"/>
      <c r="O570" s="48"/>
      <c r="P570" s="48"/>
      <c r="Q570" s="48"/>
    </row>
    <row r="571">
      <c r="A571" s="367"/>
      <c r="B571" s="389"/>
      <c r="C571" s="370"/>
      <c r="D571" s="388"/>
      <c r="E571" s="384"/>
      <c r="F571" s="60"/>
      <c r="G571" s="48"/>
      <c r="H571" s="60"/>
      <c r="I571" s="60"/>
      <c r="J571" s="60"/>
      <c r="K571" s="60"/>
      <c r="L571" s="48"/>
      <c r="M571" s="60"/>
      <c r="N571" s="60"/>
      <c r="O571" s="48"/>
      <c r="P571" s="48"/>
      <c r="Q571" s="48"/>
    </row>
    <row r="572">
      <c r="A572" s="367"/>
      <c r="B572" s="389"/>
      <c r="C572" s="370"/>
      <c r="D572" s="388"/>
      <c r="E572" s="370"/>
      <c r="F572" s="60"/>
      <c r="G572" s="48"/>
      <c r="H572" s="60"/>
      <c r="I572" s="60"/>
      <c r="J572" s="60"/>
      <c r="K572" s="60"/>
      <c r="L572" s="48"/>
      <c r="M572" s="60"/>
      <c r="N572" s="60"/>
      <c r="O572" s="48"/>
      <c r="P572" s="48"/>
      <c r="Q572" s="48"/>
    </row>
    <row r="573">
      <c r="A573" s="367"/>
      <c r="B573" s="389"/>
      <c r="C573" s="370"/>
      <c r="D573" s="388"/>
      <c r="E573" s="384"/>
      <c r="F573" s="60"/>
      <c r="G573" s="48"/>
      <c r="H573" s="60"/>
      <c r="I573" s="60"/>
      <c r="J573" s="60"/>
      <c r="K573" s="60"/>
      <c r="L573" s="48"/>
      <c r="M573" s="60"/>
      <c r="N573" s="60"/>
      <c r="O573" s="48"/>
      <c r="P573" s="48"/>
      <c r="Q573" s="48"/>
    </row>
    <row r="574">
      <c r="A574" s="367"/>
      <c r="B574" s="389"/>
      <c r="C574" s="370"/>
      <c r="D574" s="388"/>
      <c r="E574" s="370"/>
      <c r="F574" s="60"/>
      <c r="G574" s="48"/>
      <c r="H574" s="60"/>
      <c r="I574" s="60"/>
      <c r="J574" s="60"/>
      <c r="K574" s="60"/>
      <c r="L574" s="48"/>
      <c r="M574" s="60"/>
      <c r="N574" s="60"/>
      <c r="O574" s="48"/>
      <c r="P574" s="48"/>
      <c r="Q574" s="48"/>
    </row>
    <row r="575">
      <c r="A575" s="367"/>
      <c r="B575" s="389"/>
      <c r="C575" s="370"/>
      <c r="D575" s="388"/>
      <c r="E575" s="370"/>
      <c r="F575" s="60"/>
      <c r="G575" s="48"/>
      <c r="H575" s="60"/>
      <c r="I575" s="60"/>
      <c r="J575" s="60"/>
      <c r="K575" s="60"/>
      <c r="L575" s="48"/>
      <c r="M575" s="60"/>
      <c r="N575" s="60"/>
      <c r="O575" s="48"/>
      <c r="P575" s="48"/>
      <c r="Q575" s="48"/>
    </row>
    <row r="576">
      <c r="A576" s="392"/>
      <c r="B576" s="389"/>
      <c r="C576" s="370"/>
      <c r="D576" s="388"/>
      <c r="E576" s="383"/>
      <c r="F576" s="60"/>
      <c r="G576" s="48"/>
      <c r="H576" s="60"/>
      <c r="I576" s="60"/>
      <c r="J576" s="60"/>
      <c r="K576" s="60"/>
      <c r="L576" s="48"/>
      <c r="M576" s="60"/>
      <c r="N576" s="60"/>
      <c r="O576" s="48"/>
      <c r="P576" s="48"/>
      <c r="Q576" s="48"/>
    </row>
    <row r="577">
      <c r="A577" s="392"/>
      <c r="B577" s="389"/>
      <c r="C577" s="370"/>
      <c r="D577" s="388"/>
      <c r="E577" s="370"/>
      <c r="F577" s="60"/>
      <c r="G577" s="48"/>
      <c r="H577" s="60"/>
      <c r="I577" s="60"/>
      <c r="J577" s="60"/>
      <c r="K577" s="60"/>
      <c r="L577" s="48"/>
      <c r="M577" s="60"/>
      <c r="N577" s="60"/>
      <c r="O577" s="48"/>
      <c r="P577" s="48"/>
      <c r="Q577" s="48"/>
    </row>
    <row r="578">
      <c r="A578" s="367"/>
      <c r="B578" s="389"/>
      <c r="C578" s="370"/>
      <c r="D578" s="388"/>
      <c r="E578" s="370"/>
      <c r="F578" s="60"/>
      <c r="G578" s="48"/>
      <c r="H578" s="60"/>
      <c r="I578" s="60"/>
      <c r="J578" s="60"/>
      <c r="K578" s="60"/>
      <c r="L578" s="48"/>
      <c r="M578" s="60"/>
      <c r="N578" s="60"/>
      <c r="O578" s="48"/>
      <c r="P578" s="48"/>
      <c r="Q578" s="48"/>
    </row>
    <row r="579">
      <c r="A579" s="392"/>
      <c r="B579" s="389"/>
      <c r="C579" s="370"/>
      <c r="D579" s="388"/>
      <c r="E579" s="384"/>
      <c r="F579" s="60"/>
      <c r="G579" s="48"/>
      <c r="H579" s="60"/>
      <c r="I579" s="60"/>
      <c r="J579" s="60"/>
      <c r="K579" s="60"/>
      <c r="L579" s="48"/>
      <c r="M579" s="60"/>
      <c r="N579" s="60"/>
      <c r="O579" s="48"/>
      <c r="P579" s="48"/>
      <c r="Q579" s="48"/>
    </row>
    <row r="580">
      <c r="A580" s="392"/>
      <c r="B580" s="389"/>
      <c r="C580" s="370"/>
      <c r="D580" s="388"/>
      <c r="E580" s="383"/>
      <c r="F580" s="60"/>
      <c r="G580" s="48"/>
      <c r="H580" s="60"/>
      <c r="I580" s="60"/>
      <c r="J580" s="60"/>
      <c r="K580" s="60"/>
      <c r="L580" s="48"/>
      <c r="M580" s="60"/>
      <c r="N580" s="60"/>
      <c r="O580" s="48"/>
      <c r="P580" s="48"/>
      <c r="Q580" s="48"/>
    </row>
    <row r="581">
      <c r="A581" s="392"/>
      <c r="B581" s="389"/>
      <c r="C581" s="370"/>
      <c r="D581" s="388"/>
      <c r="E581" s="370"/>
      <c r="F581" s="60"/>
      <c r="G581" s="48"/>
      <c r="H581" s="60"/>
      <c r="I581" s="60"/>
      <c r="J581" s="60"/>
      <c r="K581" s="60"/>
      <c r="L581" s="48"/>
      <c r="M581" s="60"/>
      <c r="N581" s="60"/>
      <c r="O581" s="48"/>
      <c r="P581" s="48"/>
      <c r="Q581" s="48"/>
    </row>
    <row r="582">
      <c r="A582" s="360"/>
      <c r="B582" s="360"/>
      <c r="C582" s="361"/>
      <c r="D582" s="360"/>
      <c r="E582" s="362"/>
      <c r="F582" s="60"/>
      <c r="G582" s="48"/>
      <c r="H582" s="60"/>
      <c r="I582" s="60"/>
      <c r="J582" s="60"/>
      <c r="K582" s="60"/>
      <c r="L582" s="48"/>
      <c r="M582" s="60"/>
      <c r="N582" s="60"/>
      <c r="O582" s="48"/>
      <c r="P582" s="48"/>
      <c r="Q582" s="48"/>
    </row>
    <row r="583">
      <c r="A583" s="367"/>
      <c r="B583" s="389"/>
      <c r="C583" s="370"/>
      <c r="D583" s="388"/>
      <c r="E583" s="370"/>
      <c r="F583" s="60"/>
      <c r="G583" s="48"/>
      <c r="H583" s="60"/>
      <c r="I583" s="60"/>
      <c r="J583" s="60"/>
      <c r="K583" s="60"/>
      <c r="L583" s="48"/>
      <c r="M583" s="60"/>
      <c r="N583" s="60"/>
      <c r="O583" s="48"/>
      <c r="P583" s="48"/>
      <c r="Q583" s="48"/>
    </row>
    <row r="584">
      <c r="A584" s="367"/>
      <c r="B584" s="389"/>
      <c r="C584" s="370"/>
      <c r="D584" s="393"/>
      <c r="E584" s="370"/>
      <c r="F584" s="60"/>
      <c r="G584" s="48"/>
      <c r="H584" s="60"/>
      <c r="I584" s="60"/>
      <c r="J584" s="60"/>
      <c r="K584" s="60"/>
      <c r="L584" s="48"/>
      <c r="M584" s="60"/>
      <c r="N584" s="60"/>
      <c r="O584" s="48"/>
      <c r="P584" s="48"/>
      <c r="Q584" s="48"/>
    </row>
    <row r="585">
      <c r="A585" s="367"/>
      <c r="B585" s="389"/>
      <c r="C585" s="370"/>
      <c r="D585" s="388"/>
      <c r="E585" s="370"/>
      <c r="F585" s="60"/>
      <c r="G585" s="48"/>
      <c r="H585" s="60"/>
      <c r="I585" s="60"/>
      <c r="J585" s="60"/>
      <c r="K585" s="60"/>
      <c r="L585" s="48"/>
      <c r="M585" s="60"/>
      <c r="N585" s="60"/>
      <c r="O585" s="48"/>
      <c r="P585" s="48"/>
      <c r="Q585" s="48"/>
    </row>
    <row r="586">
      <c r="A586" s="367"/>
      <c r="B586" s="389"/>
      <c r="C586" s="370"/>
      <c r="D586" s="388"/>
      <c r="E586" s="370"/>
      <c r="F586" s="60"/>
      <c r="G586" s="48"/>
      <c r="H586" s="60"/>
      <c r="I586" s="60"/>
      <c r="J586" s="60"/>
      <c r="K586" s="60"/>
      <c r="L586" s="48"/>
      <c r="M586" s="60"/>
      <c r="N586" s="60"/>
      <c r="O586" s="48"/>
      <c r="P586" s="48"/>
      <c r="Q586" s="48"/>
    </row>
    <row r="587">
      <c r="A587" s="367"/>
      <c r="B587" s="389"/>
      <c r="C587" s="370"/>
      <c r="D587" s="388"/>
      <c r="E587" s="370"/>
      <c r="F587" s="60"/>
      <c r="G587" s="48"/>
      <c r="H587" s="60"/>
      <c r="I587" s="60"/>
      <c r="J587" s="60"/>
      <c r="K587" s="60"/>
      <c r="L587" s="48"/>
      <c r="M587" s="60"/>
      <c r="N587" s="60"/>
      <c r="O587" s="48"/>
      <c r="P587" s="48"/>
      <c r="Q587" s="48"/>
    </row>
    <row r="588">
      <c r="A588" s="367"/>
      <c r="B588" s="389"/>
      <c r="C588" s="370"/>
      <c r="D588" s="388"/>
      <c r="E588" s="370"/>
      <c r="F588" s="60"/>
      <c r="G588" s="48"/>
      <c r="H588" s="60"/>
      <c r="I588" s="60"/>
      <c r="J588" s="60"/>
      <c r="K588" s="60"/>
      <c r="L588" s="48"/>
      <c r="M588" s="60"/>
      <c r="N588" s="60"/>
      <c r="O588" s="48"/>
      <c r="P588" s="48"/>
      <c r="Q588" s="48"/>
    </row>
    <row r="589">
      <c r="A589" s="392"/>
      <c r="B589" s="389"/>
      <c r="C589" s="370"/>
      <c r="D589" s="388"/>
      <c r="E589" s="370"/>
      <c r="F589" s="60"/>
      <c r="G589" s="48"/>
      <c r="H589" s="60"/>
      <c r="I589" s="60"/>
      <c r="J589" s="60"/>
      <c r="K589" s="60"/>
      <c r="L589" s="48"/>
      <c r="M589" s="60"/>
      <c r="N589" s="60"/>
      <c r="O589" s="48"/>
      <c r="P589" s="48"/>
      <c r="Q589" s="48"/>
    </row>
    <row r="590">
      <c r="A590" s="392"/>
      <c r="B590" s="389"/>
      <c r="C590" s="370"/>
      <c r="D590" s="388"/>
      <c r="E590" s="384"/>
      <c r="F590" s="60"/>
      <c r="G590" s="48"/>
      <c r="H590" s="60"/>
      <c r="I590" s="60"/>
      <c r="J590" s="60"/>
      <c r="K590" s="60"/>
      <c r="L590" s="48"/>
      <c r="M590" s="60"/>
      <c r="N590" s="60"/>
      <c r="O590" s="48"/>
      <c r="P590" s="48"/>
      <c r="Q590" s="48"/>
    </row>
    <row r="591">
      <c r="A591" s="367"/>
      <c r="B591" s="389"/>
      <c r="C591" s="370"/>
      <c r="D591" s="388"/>
      <c r="E591" s="383"/>
      <c r="F591" s="60"/>
      <c r="G591" s="48"/>
      <c r="H591" s="60"/>
      <c r="I591" s="60"/>
      <c r="J591" s="60"/>
      <c r="K591" s="60"/>
      <c r="L591" s="48"/>
      <c r="M591" s="60"/>
      <c r="N591" s="60"/>
      <c r="O591" s="48"/>
      <c r="P591" s="48"/>
      <c r="Q591" s="48"/>
    </row>
    <row r="592">
      <c r="A592" s="367"/>
      <c r="B592" s="389"/>
      <c r="C592" s="370"/>
      <c r="D592" s="388"/>
      <c r="E592" s="370"/>
      <c r="F592" s="60"/>
      <c r="G592" s="48"/>
      <c r="H592" s="60"/>
      <c r="I592" s="60"/>
      <c r="J592" s="60"/>
      <c r="K592" s="60"/>
      <c r="L592" s="48"/>
      <c r="M592" s="60"/>
      <c r="N592" s="60"/>
      <c r="O592" s="48"/>
      <c r="P592" s="48"/>
      <c r="Q592" s="48"/>
    </row>
    <row r="593">
      <c r="A593" s="392"/>
      <c r="B593" s="389"/>
      <c r="C593" s="370"/>
      <c r="D593" s="388"/>
      <c r="E593" s="384"/>
      <c r="F593" s="60"/>
      <c r="G593" s="48"/>
      <c r="H593" s="60"/>
      <c r="I593" s="60"/>
      <c r="J593" s="60"/>
      <c r="K593" s="60"/>
      <c r="L593" s="48"/>
      <c r="M593" s="60"/>
      <c r="N593" s="60"/>
      <c r="O593" s="48"/>
      <c r="P593" s="48"/>
      <c r="Q593" s="48"/>
    </row>
    <row r="594">
      <c r="A594" s="367"/>
      <c r="B594" s="389"/>
      <c r="C594" s="370"/>
      <c r="D594" s="388"/>
      <c r="E594" s="384"/>
      <c r="F594" s="60"/>
      <c r="G594" s="48"/>
      <c r="H594" s="60"/>
      <c r="I594" s="60"/>
      <c r="J594" s="60"/>
      <c r="K594" s="60"/>
      <c r="L594" s="48"/>
      <c r="M594" s="60"/>
      <c r="N594" s="60"/>
      <c r="O594" s="48"/>
      <c r="P594" s="48"/>
      <c r="Q594" s="48"/>
    </row>
    <row r="595">
      <c r="A595" s="392"/>
      <c r="B595" s="389"/>
      <c r="C595" s="370"/>
      <c r="D595" s="393"/>
      <c r="E595" s="384"/>
      <c r="F595" s="60"/>
      <c r="G595" s="48"/>
      <c r="H595" s="60"/>
      <c r="I595" s="60"/>
      <c r="J595" s="60"/>
      <c r="K595" s="60"/>
      <c r="L595" s="48"/>
      <c r="M595" s="60"/>
      <c r="N595" s="60"/>
      <c r="O595" s="48"/>
      <c r="P595" s="48"/>
      <c r="Q595" s="48"/>
    </row>
    <row r="596">
      <c r="A596" s="392"/>
      <c r="B596" s="389"/>
      <c r="C596" s="370"/>
      <c r="D596" s="388"/>
      <c r="E596" s="384"/>
      <c r="F596" s="60"/>
      <c r="G596" s="48"/>
      <c r="H596" s="60"/>
      <c r="I596" s="60"/>
      <c r="J596" s="60"/>
      <c r="K596" s="60"/>
      <c r="L596" s="48"/>
      <c r="M596" s="60"/>
      <c r="N596" s="60"/>
      <c r="O596" s="48"/>
      <c r="P596" s="48"/>
      <c r="Q596" s="48"/>
    </row>
    <row r="597">
      <c r="A597" s="367"/>
      <c r="B597" s="389"/>
      <c r="C597" s="370"/>
      <c r="D597" s="388"/>
      <c r="E597" s="370"/>
      <c r="F597" s="60"/>
      <c r="G597" s="48"/>
      <c r="H597" s="60"/>
      <c r="I597" s="60"/>
      <c r="J597" s="60"/>
      <c r="K597" s="60"/>
      <c r="L597" s="48"/>
      <c r="M597" s="60"/>
      <c r="N597" s="60"/>
      <c r="O597" s="48"/>
      <c r="P597" s="48"/>
      <c r="Q597" s="48"/>
    </row>
    <row r="598">
      <c r="A598" s="392"/>
      <c r="B598" s="389"/>
      <c r="C598" s="370"/>
      <c r="D598" s="388"/>
      <c r="E598" s="370"/>
      <c r="F598" s="60"/>
      <c r="G598" s="48"/>
      <c r="H598" s="60"/>
      <c r="I598" s="60"/>
      <c r="J598" s="60"/>
      <c r="K598" s="60"/>
      <c r="L598" s="48"/>
      <c r="M598" s="60"/>
      <c r="N598" s="60"/>
      <c r="O598" s="48"/>
      <c r="P598" s="48"/>
      <c r="Q598" s="48"/>
    </row>
    <row r="599">
      <c r="A599" s="392"/>
      <c r="B599" s="389"/>
      <c r="C599" s="370"/>
      <c r="D599" s="388"/>
      <c r="E599" s="384"/>
      <c r="F599" s="60"/>
      <c r="G599" s="48"/>
      <c r="H599" s="60"/>
      <c r="I599" s="60"/>
      <c r="J599" s="60"/>
      <c r="K599" s="60"/>
      <c r="L599" s="48"/>
      <c r="M599" s="60"/>
      <c r="N599" s="60"/>
      <c r="O599" s="48"/>
      <c r="P599" s="48"/>
      <c r="Q599" s="48"/>
    </row>
    <row r="600">
      <c r="A600" s="367"/>
      <c r="B600" s="389"/>
      <c r="C600" s="370"/>
      <c r="D600" s="388"/>
      <c r="E600" s="383"/>
      <c r="F600" s="60"/>
      <c r="G600" s="48"/>
      <c r="H600" s="60"/>
      <c r="I600" s="60"/>
      <c r="J600" s="60"/>
      <c r="K600" s="60"/>
      <c r="L600" s="48"/>
      <c r="M600" s="60"/>
      <c r="N600" s="60"/>
      <c r="O600" s="48"/>
      <c r="P600" s="48"/>
      <c r="Q600" s="48"/>
    </row>
    <row r="601">
      <c r="A601" s="392"/>
      <c r="B601" s="389"/>
      <c r="C601" s="370"/>
      <c r="D601" s="388"/>
      <c r="E601" s="384"/>
      <c r="F601" s="60"/>
      <c r="G601" s="48"/>
      <c r="H601" s="60"/>
      <c r="I601" s="60"/>
      <c r="J601" s="60"/>
      <c r="K601" s="60"/>
      <c r="L601" s="48"/>
      <c r="M601" s="60"/>
      <c r="N601" s="60"/>
      <c r="O601" s="48"/>
      <c r="P601" s="48"/>
      <c r="Q601" s="48"/>
    </row>
    <row r="602">
      <c r="A602" s="392"/>
      <c r="B602" s="389"/>
      <c r="C602" s="370"/>
      <c r="D602" s="388"/>
      <c r="E602" s="383"/>
      <c r="F602" s="60"/>
      <c r="G602" s="48"/>
      <c r="H602" s="60"/>
      <c r="I602" s="60"/>
      <c r="J602" s="60"/>
      <c r="K602" s="60"/>
      <c r="L602" s="48"/>
      <c r="M602" s="60"/>
      <c r="N602" s="60"/>
      <c r="O602" s="48"/>
      <c r="P602" s="48"/>
      <c r="Q602" s="48"/>
    </row>
    <row r="603">
      <c r="A603" s="392"/>
      <c r="B603" s="389"/>
      <c r="C603" s="370"/>
      <c r="D603" s="388"/>
      <c r="E603" s="384"/>
      <c r="F603" s="60"/>
      <c r="G603" s="48"/>
      <c r="H603" s="60"/>
      <c r="I603" s="60"/>
      <c r="J603" s="60"/>
      <c r="K603" s="60"/>
      <c r="L603" s="48"/>
      <c r="M603" s="60"/>
      <c r="N603" s="60"/>
      <c r="O603" s="48"/>
      <c r="P603" s="48"/>
      <c r="Q603" s="48"/>
    </row>
    <row r="604">
      <c r="A604" s="367"/>
      <c r="B604" s="389"/>
      <c r="C604" s="370"/>
      <c r="D604" s="388"/>
      <c r="E604" s="370"/>
      <c r="F604" s="60"/>
      <c r="G604" s="48"/>
      <c r="H604" s="60"/>
      <c r="I604" s="60"/>
      <c r="J604" s="60"/>
      <c r="K604" s="60"/>
      <c r="L604" s="48"/>
      <c r="M604" s="60"/>
      <c r="N604" s="60"/>
      <c r="O604" s="48"/>
      <c r="P604" s="48"/>
      <c r="Q604" s="48"/>
    </row>
    <row r="605">
      <c r="A605" s="367"/>
      <c r="B605" s="389"/>
      <c r="C605" s="370"/>
      <c r="D605" s="388"/>
      <c r="E605" s="370"/>
      <c r="F605" s="60"/>
      <c r="G605" s="48"/>
      <c r="H605" s="60"/>
      <c r="I605" s="60"/>
      <c r="J605" s="60"/>
      <c r="K605" s="60"/>
      <c r="L605" s="48"/>
      <c r="M605" s="60"/>
      <c r="N605" s="60"/>
      <c r="O605" s="48"/>
      <c r="P605" s="48"/>
      <c r="Q605" s="48"/>
    </row>
    <row r="606">
      <c r="A606" s="392"/>
      <c r="B606" s="389"/>
      <c r="C606" s="370"/>
      <c r="D606" s="388"/>
      <c r="E606" s="384"/>
      <c r="F606" s="60"/>
      <c r="G606" s="48"/>
      <c r="H606" s="60"/>
      <c r="I606" s="60"/>
      <c r="J606" s="60"/>
      <c r="K606" s="60"/>
      <c r="L606" s="48"/>
      <c r="M606" s="60"/>
      <c r="N606" s="60"/>
      <c r="O606" s="48"/>
      <c r="P606" s="48"/>
      <c r="Q606" s="48"/>
    </row>
    <row r="607">
      <c r="A607" s="392"/>
      <c r="B607" s="389"/>
      <c r="C607" s="370"/>
      <c r="D607" s="388"/>
      <c r="E607" s="383"/>
      <c r="F607" s="60"/>
      <c r="G607" s="48"/>
      <c r="H607" s="60"/>
      <c r="I607" s="60"/>
      <c r="J607" s="60"/>
      <c r="K607" s="60"/>
      <c r="L607" s="48"/>
      <c r="M607" s="60"/>
      <c r="N607" s="60"/>
      <c r="O607" s="48"/>
      <c r="P607" s="48"/>
      <c r="Q607" s="48"/>
    </row>
    <row r="608">
      <c r="A608" s="392"/>
      <c r="B608" s="389"/>
      <c r="C608" s="370"/>
      <c r="D608" s="388"/>
      <c r="E608" s="370"/>
      <c r="F608" s="60"/>
      <c r="G608" s="48"/>
      <c r="H608" s="60"/>
      <c r="I608" s="60"/>
      <c r="J608" s="60"/>
      <c r="K608" s="60"/>
      <c r="L608" s="48"/>
      <c r="M608" s="60"/>
      <c r="N608" s="60"/>
      <c r="O608" s="48"/>
      <c r="P608" s="48"/>
      <c r="Q608" s="48"/>
    </row>
    <row r="609">
      <c r="A609" s="367"/>
      <c r="B609" s="389"/>
      <c r="C609" s="370"/>
      <c r="D609" s="388"/>
      <c r="E609" s="370"/>
      <c r="F609" s="60"/>
      <c r="G609" s="48"/>
      <c r="H609" s="60"/>
      <c r="I609" s="60"/>
      <c r="J609" s="60"/>
      <c r="K609" s="60"/>
      <c r="L609" s="48"/>
      <c r="M609" s="60"/>
      <c r="N609" s="60"/>
      <c r="O609" s="48"/>
      <c r="P609" s="48"/>
      <c r="Q609" s="48"/>
    </row>
    <row r="610">
      <c r="A610" s="367"/>
      <c r="B610" s="389"/>
      <c r="C610" s="370"/>
      <c r="D610" s="388"/>
      <c r="E610" s="370"/>
      <c r="F610" s="60"/>
      <c r="G610" s="48"/>
      <c r="H610" s="60"/>
      <c r="I610" s="60"/>
      <c r="J610" s="60"/>
      <c r="K610" s="60"/>
      <c r="L610" s="48"/>
      <c r="M610" s="60"/>
      <c r="N610" s="60"/>
      <c r="O610" s="48"/>
      <c r="P610" s="48"/>
      <c r="Q610" s="48"/>
    </row>
    <row r="611">
      <c r="A611" s="367"/>
      <c r="B611" s="389"/>
      <c r="C611" s="370"/>
      <c r="D611" s="393"/>
      <c r="E611" s="370"/>
      <c r="F611" s="60"/>
      <c r="G611" s="48"/>
      <c r="H611" s="60"/>
      <c r="I611" s="60"/>
      <c r="J611" s="60"/>
      <c r="K611" s="60"/>
      <c r="L611" s="48"/>
      <c r="M611" s="60"/>
      <c r="N611" s="60"/>
      <c r="O611" s="48"/>
      <c r="P611" s="48"/>
      <c r="Q611" s="48"/>
    </row>
    <row r="612">
      <c r="A612" s="367"/>
      <c r="B612" s="389"/>
      <c r="C612" s="370"/>
      <c r="D612" s="388"/>
      <c r="E612" s="384"/>
      <c r="F612" s="60"/>
      <c r="G612" s="48"/>
      <c r="H612" s="60"/>
      <c r="I612" s="60"/>
      <c r="J612" s="60"/>
      <c r="K612" s="60"/>
      <c r="L612" s="48"/>
      <c r="M612" s="60"/>
      <c r="N612" s="60"/>
      <c r="O612" s="48"/>
      <c r="P612" s="48"/>
      <c r="Q612" s="48"/>
    </row>
    <row r="613">
      <c r="A613" s="367"/>
      <c r="B613" s="389"/>
      <c r="C613" s="370"/>
      <c r="D613" s="388"/>
      <c r="E613" s="370"/>
      <c r="F613" s="60"/>
      <c r="G613" s="48"/>
      <c r="H613" s="60"/>
      <c r="I613" s="60"/>
      <c r="J613" s="60"/>
      <c r="K613" s="60"/>
      <c r="L613" s="48"/>
      <c r="M613" s="60"/>
      <c r="N613" s="60"/>
      <c r="O613" s="48"/>
      <c r="P613" s="48"/>
      <c r="Q613" s="48"/>
    </row>
    <row r="614">
      <c r="A614" s="367"/>
      <c r="B614" s="389"/>
      <c r="C614" s="370"/>
      <c r="D614" s="388"/>
      <c r="E614" s="384"/>
      <c r="F614" s="60"/>
      <c r="G614" s="48"/>
      <c r="H614" s="60"/>
      <c r="I614" s="60"/>
      <c r="J614" s="60"/>
      <c r="K614" s="60"/>
      <c r="L614" s="48"/>
      <c r="M614" s="60"/>
      <c r="N614" s="60"/>
      <c r="O614" s="48"/>
      <c r="P614" s="48"/>
      <c r="Q614" s="48"/>
    </row>
    <row r="615">
      <c r="A615" s="367"/>
      <c r="B615" s="389"/>
      <c r="C615" s="370"/>
      <c r="D615" s="388"/>
      <c r="E615" s="370"/>
      <c r="F615" s="60"/>
      <c r="G615" s="48"/>
      <c r="H615" s="60"/>
      <c r="I615" s="60"/>
      <c r="J615" s="60"/>
      <c r="K615" s="60"/>
      <c r="L615" s="48"/>
      <c r="M615" s="60"/>
      <c r="N615" s="60"/>
      <c r="O615" s="48"/>
      <c r="P615" s="48"/>
      <c r="Q615" s="48"/>
    </row>
    <row r="616">
      <c r="A616" s="367"/>
      <c r="B616" s="389"/>
      <c r="C616" s="370"/>
      <c r="D616" s="388"/>
      <c r="E616" s="370"/>
      <c r="F616" s="60"/>
      <c r="G616" s="48"/>
      <c r="H616" s="60"/>
      <c r="I616" s="60"/>
      <c r="J616" s="60"/>
      <c r="K616" s="60"/>
      <c r="L616" s="48"/>
      <c r="M616" s="60"/>
      <c r="N616" s="60"/>
      <c r="O616" s="48"/>
      <c r="P616" s="48"/>
      <c r="Q616" s="48"/>
    </row>
    <row r="617">
      <c r="A617" s="392"/>
      <c r="B617" s="389"/>
      <c r="C617" s="370"/>
      <c r="D617" s="388"/>
      <c r="E617" s="383"/>
      <c r="F617" s="60"/>
      <c r="G617" s="48"/>
      <c r="H617" s="60"/>
      <c r="I617" s="60"/>
      <c r="J617" s="60"/>
      <c r="K617" s="60"/>
      <c r="L617" s="48"/>
      <c r="M617" s="60"/>
      <c r="N617" s="60"/>
      <c r="O617" s="48"/>
      <c r="P617" s="48"/>
      <c r="Q617" s="48"/>
    </row>
    <row r="618">
      <c r="A618" s="392"/>
      <c r="B618" s="389"/>
      <c r="C618" s="370"/>
      <c r="D618" s="388"/>
      <c r="E618" s="370"/>
      <c r="F618" s="60"/>
      <c r="G618" s="48"/>
      <c r="H618" s="60"/>
      <c r="I618" s="60"/>
      <c r="J618" s="60"/>
      <c r="K618" s="60"/>
      <c r="L618" s="48"/>
      <c r="M618" s="60"/>
      <c r="N618" s="60"/>
      <c r="O618" s="48"/>
      <c r="P618" s="48"/>
      <c r="Q618" s="48"/>
    </row>
    <row r="619">
      <c r="A619" s="367"/>
      <c r="B619" s="389"/>
      <c r="C619" s="370"/>
      <c r="D619" s="388"/>
      <c r="E619" s="370"/>
      <c r="F619" s="60"/>
      <c r="G619" s="48"/>
      <c r="H619" s="60"/>
      <c r="I619" s="60"/>
      <c r="J619" s="60"/>
      <c r="K619" s="60"/>
      <c r="L619" s="48"/>
      <c r="M619" s="60"/>
      <c r="N619" s="60"/>
      <c r="O619" s="48"/>
      <c r="P619" s="48"/>
      <c r="Q619" s="48"/>
    </row>
    <row r="620">
      <c r="A620" s="392"/>
      <c r="B620" s="389"/>
      <c r="C620" s="370"/>
      <c r="D620" s="388"/>
      <c r="E620" s="384"/>
      <c r="F620" s="60"/>
      <c r="G620" s="48"/>
      <c r="H620" s="60"/>
      <c r="I620" s="60"/>
      <c r="J620" s="60"/>
      <c r="K620" s="60"/>
      <c r="L620" s="48"/>
      <c r="M620" s="60"/>
      <c r="N620" s="60"/>
      <c r="O620" s="48"/>
      <c r="P620" s="48"/>
      <c r="Q620" s="48"/>
    </row>
    <row r="621">
      <c r="A621" s="392"/>
      <c r="B621" s="389"/>
      <c r="C621" s="370"/>
      <c r="D621" s="388"/>
      <c r="E621" s="383"/>
      <c r="F621" s="60"/>
      <c r="G621" s="48"/>
      <c r="H621" s="60"/>
      <c r="I621" s="60"/>
      <c r="J621" s="60"/>
      <c r="K621" s="60"/>
      <c r="L621" s="48"/>
      <c r="M621" s="60"/>
      <c r="N621" s="60"/>
      <c r="O621" s="48"/>
      <c r="P621" s="48"/>
      <c r="Q621" s="48"/>
    </row>
    <row r="622">
      <c r="A622" s="392"/>
      <c r="B622" s="389"/>
      <c r="C622" s="370"/>
      <c r="D622" s="388"/>
      <c r="E622" s="370"/>
      <c r="F622" s="60"/>
      <c r="G622" s="48"/>
      <c r="H622" s="60"/>
      <c r="I622" s="60"/>
      <c r="J622" s="60"/>
      <c r="K622" s="60"/>
      <c r="L622" s="48"/>
      <c r="M622" s="60"/>
      <c r="N622" s="60"/>
      <c r="O622" s="48"/>
      <c r="P622" s="48"/>
      <c r="Q622" s="48"/>
    </row>
    <row r="623">
      <c r="A623" s="360"/>
      <c r="B623" s="360"/>
      <c r="C623" s="361"/>
      <c r="D623" s="360"/>
      <c r="E623" s="362"/>
      <c r="F623" s="60"/>
      <c r="G623" s="48"/>
      <c r="H623" s="60"/>
      <c r="I623" s="60"/>
      <c r="J623" s="60"/>
      <c r="K623" s="60"/>
      <c r="L623" s="48"/>
      <c r="M623" s="60"/>
      <c r="N623" s="60"/>
      <c r="O623" s="48"/>
      <c r="P623" s="48"/>
      <c r="Q623" s="48"/>
    </row>
    <row r="624">
      <c r="A624" s="367"/>
      <c r="B624" s="389"/>
      <c r="C624" s="370"/>
      <c r="D624" s="388"/>
      <c r="E624" s="370"/>
      <c r="F624" s="60"/>
      <c r="G624" s="48"/>
      <c r="H624" s="60"/>
      <c r="I624" s="60"/>
      <c r="J624" s="60"/>
      <c r="K624" s="60"/>
      <c r="L624" s="48"/>
      <c r="M624" s="60"/>
      <c r="N624" s="60"/>
      <c r="O624" s="48"/>
      <c r="P624" s="48"/>
      <c r="Q624" s="48"/>
    </row>
    <row r="625">
      <c r="A625" s="367"/>
      <c r="B625" s="389"/>
      <c r="C625" s="370"/>
      <c r="D625" s="393"/>
      <c r="E625" s="370"/>
      <c r="F625" s="60"/>
      <c r="G625" s="48"/>
      <c r="H625" s="60"/>
      <c r="I625" s="60"/>
      <c r="J625" s="60"/>
      <c r="K625" s="60"/>
      <c r="L625" s="48"/>
      <c r="M625" s="60"/>
      <c r="N625" s="60"/>
      <c r="O625" s="48"/>
      <c r="P625" s="48"/>
      <c r="Q625" s="48"/>
    </row>
    <row r="626">
      <c r="A626" s="367"/>
      <c r="B626" s="389"/>
      <c r="C626" s="370"/>
      <c r="D626" s="388"/>
      <c r="E626" s="370"/>
      <c r="F626" s="60"/>
      <c r="G626" s="48"/>
      <c r="H626" s="60"/>
      <c r="I626" s="60"/>
      <c r="J626" s="60"/>
      <c r="K626" s="60"/>
      <c r="L626" s="48"/>
      <c r="M626" s="60"/>
      <c r="N626" s="60"/>
      <c r="O626" s="48"/>
      <c r="P626" s="48"/>
      <c r="Q626" s="48"/>
    </row>
    <row r="627">
      <c r="A627" s="367"/>
      <c r="B627" s="389"/>
      <c r="C627" s="370"/>
      <c r="D627" s="388"/>
      <c r="E627" s="370"/>
      <c r="F627" s="60"/>
      <c r="G627" s="48"/>
      <c r="H627" s="60"/>
      <c r="I627" s="60"/>
      <c r="J627" s="60"/>
      <c r="K627" s="60"/>
      <c r="L627" s="48"/>
      <c r="M627" s="60"/>
      <c r="N627" s="60"/>
      <c r="O627" s="48"/>
      <c r="P627" s="48"/>
      <c r="Q627" s="48"/>
    </row>
    <row r="628">
      <c r="A628" s="367"/>
      <c r="B628" s="389"/>
      <c r="C628" s="370"/>
      <c r="D628" s="388"/>
      <c r="E628" s="370"/>
      <c r="F628" s="60"/>
      <c r="G628" s="48"/>
      <c r="H628" s="60"/>
      <c r="I628" s="60"/>
      <c r="J628" s="60"/>
      <c r="K628" s="60"/>
      <c r="L628" s="48"/>
      <c r="M628" s="60"/>
      <c r="N628" s="60"/>
      <c r="O628" s="48"/>
      <c r="P628" s="48"/>
      <c r="Q628" s="48"/>
    </row>
    <row r="629">
      <c r="A629" s="367"/>
      <c r="B629" s="389"/>
      <c r="C629" s="370"/>
      <c r="D629" s="388"/>
      <c r="E629" s="370"/>
      <c r="F629" s="60"/>
      <c r="G629" s="48"/>
      <c r="H629" s="60"/>
      <c r="I629" s="60"/>
      <c r="J629" s="60"/>
      <c r="K629" s="60"/>
      <c r="L629" s="48"/>
      <c r="M629" s="60"/>
      <c r="N629" s="60"/>
      <c r="O629" s="48"/>
      <c r="P629" s="48"/>
      <c r="Q629" s="48"/>
    </row>
    <row r="630">
      <c r="A630" s="392"/>
      <c r="B630" s="389"/>
      <c r="C630" s="370"/>
      <c r="D630" s="388"/>
      <c r="E630" s="370"/>
      <c r="F630" s="60"/>
      <c r="G630" s="48"/>
      <c r="H630" s="60"/>
      <c r="I630" s="60"/>
      <c r="J630" s="60"/>
      <c r="K630" s="60"/>
      <c r="L630" s="48"/>
      <c r="M630" s="60"/>
      <c r="N630" s="60"/>
      <c r="O630" s="48"/>
      <c r="P630" s="48"/>
      <c r="Q630" s="48"/>
    </row>
    <row r="631">
      <c r="A631" s="392"/>
      <c r="B631" s="389"/>
      <c r="C631" s="370"/>
      <c r="D631" s="388"/>
      <c r="E631" s="384"/>
      <c r="F631" s="60"/>
      <c r="G631" s="48"/>
      <c r="H631" s="60"/>
      <c r="I631" s="60"/>
      <c r="J631" s="60"/>
      <c r="K631" s="60"/>
      <c r="L631" s="48"/>
      <c r="M631" s="60"/>
      <c r="N631" s="60"/>
      <c r="O631" s="48"/>
      <c r="P631" s="48"/>
      <c r="Q631" s="48"/>
    </row>
    <row r="632">
      <c r="A632" s="367"/>
      <c r="B632" s="389"/>
      <c r="C632" s="370"/>
      <c r="D632" s="388"/>
      <c r="E632" s="383"/>
      <c r="F632" s="60"/>
      <c r="G632" s="48"/>
      <c r="H632" s="60"/>
      <c r="I632" s="60"/>
      <c r="J632" s="60"/>
      <c r="K632" s="60"/>
      <c r="L632" s="48"/>
      <c r="M632" s="60"/>
      <c r="N632" s="60"/>
      <c r="O632" s="48"/>
      <c r="P632" s="48"/>
      <c r="Q632" s="48"/>
    </row>
    <row r="633">
      <c r="A633" s="367"/>
      <c r="B633" s="389"/>
      <c r="C633" s="370"/>
      <c r="D633" s="388"/>
      <c r="E633" s="370"/>
      <c r="F633" s="60"/>
      <c r="G633" s="48"/>
      <c r="H633" s="60"/>
      <c r="I633" s="60"/>
      <c r="J633" s="60"/>
      <c r="K633" s="60"/>
      <c r="L633" s="48"/>
      <c r="M633" s="60"/>
      <c r="N633" s="60"/>
      <c r="O633" s="48"/>
      <c r="P633" s="48"/>
      <c r="Q633" s="48"/>
    </row>
    <row r="634">
      <c r="A634" s="392"/>
      <c r="B634" s="389"/>
      <c r="C634" s="370"/>
      <c r="D634" s="388"/>
      <c r="E634" s="384"/>
      <c r="F634" s="60"/>
      <c r="G634" s="48"/>
      <c r="H634" s="60"/>
      <c r="I634" s="60"/>
      <c r="J634" s="60"/>
      <c r="K634" s="60"/>
      <c r="L634" s="48"/>
      <c r="M634" s="60"/>
      <c r="N634" s="60"/>
      <c r="O634" s="48"/>
      <c r="P634" s="48"/>
      <c r="Q634" s="48"/>
    </row>
    <row r="635">
      <c r="A635" s="367"/>
      <c r="B635" s="389"/>
      <c r="C635" s="370"/>
      <c r="D635" s="388"/>
      <c r="E635" s="384"/>
      <c r="F635" s="60"/>
      <c r="G635" s="48"/>
      <c r="H635" s="60"/>
      <c r="I635" s="60"/>
      <c r="J635" s="60"/>
      <c r="K635" s="60"/>
      <c r="L635" s="48"/>
      <c r="M635" s="60"/>
      <c r="N635" s="60"/>
      <c r="O635" s="48"/>
      <c r="P635" s="48"/>
      <c r="Q635" s="48"/>
    </row>
    <row r="636">
      <c r="A636" s="392"/>
      <c r="B636" s="389"/>
      <c r="C636" s="370"/>
      <c r="D636" s="393"/>
      <c r="E636" s="384"/>
      <c r="F636" s="60"/>
      <c r="G636" s="48"/>
      <c r="H636" s="60"/>
      <c r="I636" s="60"/>
      <c r="J636" s="60"/>
      <c r="K636" s="60"/>
      <c r="L636" s="48"/>
      <c r="M636" s="60"/>
      <c r="N636" s="60"/>
      <c r="O636" s="48"/>
      <c r="P636" s="48"/>
      <c r="Q636" s="48"/>
    </row>
    <row r="637">
      <c r="A637" s="392"/>
      <c r="B637" s="389"/>
      <c r="C637" s="370"/>
      <c r="D637" s="388"/>
      <c r="E637" s="384"/>
      <c r="F637" s="60"/>
      <c r="G637" s="48"/>
      <c r="H637" s="60"/>
      <c r="I637" s="60"/>
      <c r="J637" s="60"/>
      <c r="K637" s="60"/>
      <c r="L637" s="48"/>
      <c r="M637" s="60"/>
      <c r="N637" s="60"/>
      <c r="O637" s="48"/>
      <c r="P637" s="48"/>
      <c r="Q637" s="48"/>
    </row>
    <row r="638">
      <c r="A638" s="367"/>
      <c r="B638" s="389"/>
      <c r="C638" s="370"/>
      <c r="D638" s="388"/>
      <c r="E638" s="370"/>
      <c r="F638" s="60"/>
      <c r="G638" s="48"/>
      <c r="H638" s="60"/>
      <c r="I638" s="60"/>
      <c r="J638" s="60"/>
      <c r="K638" s="60"/>
      <c r="L638" s="48"/>
      <c r="M638" s="60"/>
      <c r="N638" s="60"/>
      <c r="O638" s="48"/>
      <c r="P638" s="48"/>
      <c r="Q638" s="48"/>
    </row>
    <row r="639">
      <c r="A639" s="392"/>
      <c r="B639" s="389"/>
      <c r="C639" s="370"/>
      <c r="D639" s="388"/>
      <c r="E639" s="370"/>
      <c r="F639" s="60"/>
      <c r="G639" s="48"/>
      <c r="H639" s="60"/>
      <c r="I639" s="60"/>
      <c r="J639" s="60"/>
      <c r="K639" s="60"/>
      <c r="L639" s="48"/>
      <c r="M639" s="60"/>
      <c r="N639" s="60"/>
      <c r="O639" s="48"/>
      <c r="P639" s="48"/>
      <c r="Q639" s="48"/>
    </row>
    <row r="640">
      <c r="A640" s="392"/>
      <c r="B640" s="389"/>
      <c r="C640" s="370"/>
      <c r="D640" s="388"/>
      <c r="E640" s="384"/>
      <c r="F640" s="60"/>
      <c r="G640" s="48"/>
      <c r="H640" s="60"/>
      <c r="I640" s="60"/>
      <c r="J640" s="60"/>
      <c r="K640" s="60"/>
      <c r="L640" s="48"/>
      <c r="M640" s="60"/>
      <c r="N640" s="60"/>
      <c r="O640" s="48"/>
      <c r="P640" s="48"/>
      <c r="Q640" s="48"/>
    </row>
    <row r="641">
      <c r="A641" s="367"/>
      <c r="B641" s="389"/>
      <c r="C641" s="370"/>
      <c r="D641" s="388"/>
      <c r="E641" s="383"/>
      <c r="F641" s="60"/>
      <c r="G641" s="48"/>
      <c r="H641" s="60"/>
      <c r="I641" s="60"/>
      <c r="J641" s="60"/>
      <c r="K641" s="60"/>
      <c r="L641" s="48"/>
      <c r="M641" s="60"/>
      <c r="N641" s="60"/>
      <c r="O641" s="48"/>
      <c r="P641" s="48"/>
      <c r="Q641" s="48"/>
    </row>
    <row r="642">
      <c r="A642" s="392"/>
      <c r="B642" s="389"/>
      <c r="C642" s="370"/>
      <c r="D642" s="388"/>
      <c r="E642" s="384"/>
      <c r="F642" s="60"/>
      <c r="G642" s="48"/>
      <c r="H642" s="60"/>
      <c r="I642" s="60"/>
      <c r="J642" s="60"/>
      <c r="K642" s="60"/>
      <c r="L642" s="48"/>
      <c r="M642" s="60"/>
      <c r="N642" s="60"/>
      <c r="O642" s="48"/>
      <c r="P642" s="48"/>
      <c r="Q642" s="48"/>
    </row>
    <row r="643">
      <c r="A643" s="392"/>
      <c r="B643" s="389"/>
      <c r="C643" s="370"/>
      <c r="D643" s="388"/>
      <c r="E643" s="383"/>
      <c r="F643" s="60"/>
      <c r="G643" s="48"/>
      <c r="H643" s="60"/>
      <c r="I643" s="60"/>
      <c r="J643" s="60"/>
      <c r="K643" s="60"/>
      <c r="L643" s="48"/>
      <c r="M643" s="60"/>
      <c r="N643" s="60"/>
      <c r="O643" s="48"/>
      <c r="P643" s="48"/>
      <c r="Q643" s="48"/>
    </row>
    <row r="644">
      <c r="A644" s="392"/>
      <c r="B644" s="389"/>
      <c r="C644" s="370"/>
      <c r="D644" s="388"/>
      <c r="E644" s="384"/>
      <c r="F644" s="60"/>
      <c r="G644" s="48"/>
      <c r="H644" s="60"/>
      <c r="I644" s="60"/>
      <c r="J644" s="60"/>
      <c r="K644" s="60"/>
      <c r="L644" s="48"/>
      <c r="M644" s="60"/>
      <c r="N644" s="60"/>
      <c r="O644" s="48"/>
      <c r="P644" s="48"/>
      <c r="Q644" s="48"/>
    </row>
    <row r="645">
      <c r="A645" s="367"/>
      <c r="B645" s="389"/>
      <c r="C645" s="370"/>
      <c r="D645" s="388"/>
      <c r="E645" s="370"/>
      <c r="F645" s="60"/>
      <c r="G645" s="48"/>
      <c r="H645" s="60"/>
      <c r="I645" s="60"/>
      <c r="J645" s="60"/>
      <c r="K645" s="60"/>
      <c r="L645" s="48"/>
      <c r="M645" s="60"/>
      <c r="N645" s="60"/>
      <c r="O645" s="48"/>
      <c r="P645" s="48"/>
      <c r="Q645" s="48"/>
    </row>
    <row r="646">
      <c r="A646" s="367"/>
      <c r="B646" s="389"/>
      <c r="C646" s="370"/>
      <c r="D646" s="388"/>
      <c r="E646" s="370"/>
      <c r="F646" s="60"/>
      <c r="G646" s="48"/>
      <c r="H646" s="60"/>
      <c r="I646" s="60"/>
      <c r="J646" s="60"/>
      <c r="K646" s="60"/>
      <c r="L646" s="48"/>
      <c r="M646" s="60"/>
      <c r="N646" s="60"/>
      <c r="O646" s="48"/>
      <c r="P646" s="48"/>
      <c r="Q646" s="48"/>
    </row>
    <row r="647">
      <c r="A647" s="392"/>
      <c r="B647" s="389"/>
      <c r="C647" s="370"/>
      <c r="D647" s="388"/>
      <c r="E647" s="384"/>
      <c r="F647" s="60"/>
      <c r="G647" s="48"/>
      <c r="H647" s="60"/>
      <c r="I647" s="60"/>
      <c r="J647" s="60"/>
      <c r="K647" s="60"/>
      <c r="L647" s="48"/>
      <c r="M647" s="60"/>
      <c r="N647" s="60"/>
      <c r="O647" s="48"/>
      <c r="P647" s="48"/>
      <c r="Q647" s="48"/>
    </row>
    <row r="648">
      <c r="A648" s="392"/>
      <c r="B648" s="389"/>
      <c r="C648" s="370"/>
      <c r="D648" s="388"/>
      <c r="E648" s="383"/>
      <c r="F648" s="60"/>
      <c r="G648" s="48"/>
      <c r="H648" s="60"/>
      <c r="I648" s="60"/>
      <c r="J648" s="60"/>
      <c r="K648" s="60"/>
      <c r="L648" s="48"/>
      <c r="M648" s="60"/>
      <c r="N648" s="60"/>
      <c r="O648" s="48"/>
      <c r="P648" s="48"/>
      <c r="Q648" s="48"/>
    </row>
    <row r="649">
      <c r="A649" s="392"/>
      <c r="B649" s="389"/>
      <c r="C649" s="370"/>
      <c r="D649" s="388"/>
      <c r="E649" s="370"/>
      <c r="F649" s="60"/>
      <c r="G649" s="48"/>
      <c r="H649" s="60"/>
      <c r="I649" s="60"/>
      <c r="J649" s="60"/>
      <c r="K649" s="60"/>
      <c r="L649" s="48"/>
      <c r="M649" s="60"/>
      <c r="N649" s="60"/>
      <c r="O649" s="48"/>
      <c r="P649" s="48"/>
      <c r="Q649" s="48"/>
    </row>
    <row r="650">
      <c r="A650" s="367"/>
      <c r="B650" s="389"/>
      <c r="C650" s="370"/>
      <c r="D650" s="388"/>
      <c r="E650" s="370"/>
      <c r="F650" s="60"/>
      <c r="G650" s="48"/>
      <c r="H650" s="60"/>
      <c r="I650" s="60"/>
      <c r="J650" s="60"/>
      <c r="K650" s="60"/>
      <c r="L650" s="48"/>
      <c r="M650" s="60"/>
      <c r="N650" s="60"/>
      <c r="O650" s="48"/>
      <c r="P650" s="48"/>
      <c r="Q650" s="48"/>
    </row>
    <row r="651">
      <c r="A651" s="367"/>
      <c r="B651" s="389"/>
      <c r="C651" s="370"/>
      <c r="D651" s="388"/>
      <c r="E651" s="370"/>
      <c r="F651" s="60"/>
      <c r="G651" s="48"/>
      <c r="H651" s="60"/>
      <c r="I651" s="60"/>
      <c r="J651" s="60"/>
      <c r="K651" s="60"/>
      <c r="L651" s="48"/>
      <c r="M651" s="60"/>
      <c r="N651" s="60"/>
      <c r="O651" s="48"/>
      <c r="P651" s="48"/>
      <c r="Q651" s="48"/>
    </row>
    <row r="652">
      <c r="A652" s="367"/>
      <c r="B652" s="389"/>
      <c r="C652" s="370"/>
      <c r="D652" s="393"/>
      <c r="E652" s="370"/>
      <c r="F652" s="60"/>
      <c r="G652" s="48"/>
      <c r="H652" s="60"/>
      <c r="I652" s="60"/>
      <c r="J652" s="60"/>
      <c r="K652" s="60"/>
      <c r="L652" s="48"/>
      <c r="M652" s="60"/>
      <c r="N652" s="60"/>
      <c r="O652" s="48"/>
      <c r="P652" s="48"/>
      <c r="Q652" s="48"/>
    </row>
    <row r="653">
      <c r="A653" s="367"/>
      <c r="B653" s="389"/>
      <c r="C653" s="370"/>
      <c r="D653" s="388"/>
      <c r="E653" s="384"/>
      <c r="F653" s="60"/>
      <c r="G653" s="48"/>
      <c r="H653" s="60"/>
      <c r="I653" s="60"/>
      <c r="J653" s="60"/>
      <c r="K653" s="60"/>
      <c r="L653" s="48"/>
      <c r="M653" s="60"/>
      <c r="N653" s="60"/>
      <c r="O653" s="48"/>
      <c r="P653" s="48"/>
      <c r="Q653" s="48"/>
    </row>
    <row r="654">
      <c r="A654" s="367"/>
      <c r="B654" s="389"/>
      <c r="C654" s="370"/>
      <c r="D654" s="388"/>
      <c r="E654" s="370"/>
      <c r="F654" s="60"/>
      <c r="G654" s="48"/>
      <c r="H654" s="60"/>
      <c r="I654" s="60"/>
      <c r="J654" s="60"/>
      <c r="K654" s="60"/>
      <c r="L654" s="48"/>
      <c r="M654" s="60"/>
      <c r="N654" s="60"/>
      <c r="O654" s="48"/>
      <c r="P654" s="48"/>
      <c r="Q654" s="48"/>
    </row>
    <row r="655">
      <c r="A655" s="367"/>
      <c r="B655" s="389"/>
      <c r="C655" s="370"/>
      <c r="D655" s="388"/>
      <c r="E655" s="384"/>
      <c r="F655" s="60"/>
      <c r="G655" s="48"/>
      <c r="H655" s="60"/>
      <c r="I655" s="60"/>
      <c r="J655" s="60"/>
      <c r="K655" s="60"/>
      <c r="L655" s="48"/>
      <c r="M655" s="60"/>
      <c r="N655" s="60"/>
      <c r="O655" s="48"/>
      <c r="P655" s="48"/>
      <c r="Q655" s="48"/>
    </row>
    <row r="656">
      <c r="A656" s="367"/>
      <c r="B656" s="389"/>
      <c r="C656" s="370"/>
      <c r="D656" s="388"/>
      <c r="E656" s="370"/>
      <c r="F656" s="60"/>
      <c r="G656" s="48"/>
      <c r="H656" s="60"/>
      <c r="I656" s="60"/>
      <c r="J656" s="60"/>
      <c r="K656" s="60"/>
      <c r="L656" s="48"/>
      <c r="M656" s="60"/>
      <c r="N656" s="60"/>
      <c r="O656" s="48"/>
      <c r="P656" s="48"/>
      <c r="Q656" s="48"/>
    </row>
    <row r="657">
      <c r="A657" s="367"/>
      <c r="B657" s="389"/>
      <c r="C657" s="370"/>
      <c r="D657" s="388"/>
      <c r="E657" s="370"/>
      <c r="F657" s="60"/>
      <c r="G657" s="48"/>
      <c r="H657" s="60"/>
      <c r="I657" s="60"/>
      <c r="J657" s="60"/>
      <c r="K657" s="60"/>
      <c r="L657" s="48"/>
      <c r="M657" s="60"/>
      <c r="N657" s="60"/>
      <c r="O657" s="48"/>
      <c r="P657" s="48"/>
      <c r="Q657" s="48"/>
    </row>
    <row r="658">
      <c r="A658" s="392"/>
      <c r="B658" s="389"/>
      <c r="C658" s="370"/>
      <c r="D658" s="388"/>
      <c r="E658" s="383"/>
      <c r="F658" s="60"/>
      <c r="G658" s="48"/>
      <c r="H658" s="60"/>
      <c r="I658" s="60"/>
      <c r="J658" s="60"/>
      <c r="K658" s="60"/>
      <c r="L658" s="48"/>
      <c r="M658" s="60"/>
      <c r="N658" s="60"/>
      <c r="O658" s="48"/>
      <c r="P658" s="48"/>
      <c r="Q658" s="48"/>
    </row>
    <row r="659">
      <c r="A659" s="392"/>
      <c r="B659" s="389"/>
      <c r="C659" s="370"/>
      <c r="D659" s="388"/>
      <c r="E659" s="370"/>
      <c r="F659" s="60"/>
      <c r="G659" s="48"/>
      <c r="H659" s="60"/>
      <c r="I659" s="60"/>
      <c r="J659" s="60"/>
      <c r="K659" s="60"/>
      <c r="L659" s="48"/>
      <c r="M659" s="60"/>
      <c r="N659" s="60"/>
      <c r="O659" s="48"/>
      <c r="P659" s="48"/>
      <c r="Q659" s="48"/>
    </row>
    <row r="660">
      <c r="A660" s="367"/>
      <c r="B660" s="389"/>
      <c r="C660" s="370"/>
      <c r="D660" s="388"/>
      <c r="E660" s="370"/>
      <c r="F660" s="60"/>
      <c r="G660" s="48"/>
      <c r="H660" s="60"/>
      <c r="I660" s="60"/>
      <c r="J660" s="60"/>
      <c r="K660" s="60"/>
      <c r="L660" s="48"/>
      <c r="M660" s="60"/>
      <c r="N660" s="60"/>
      <c r="O660" s="48"/>
      <c r="P660" s="48"/>
      <c r="Q660" s="48"/>
    </row>
    <row r="661">
      <c r="A661" s="392"/>
      <c r="B661" s="389"/>
      <c r="C661" s="370"/>
      <c r="D661" s="388"/>
      <c r="E661" s="384"/>
      <c r="F661" s="60"/>
      <c r="G661" s="48"/>
      <c r="H661" s="60"/>
      <c r="I661" s="60"/>
      <c r="J661" s="60"/>
      <c r="K661" s="60"/>
      <c r="L661" s="48"/>
      <c r="M661" s="60"/>
      <c r="N661" s="60"/>
      <c r="O661" s="48"/>
      <c r="P661" s="48"/>
      <c r="Q661" s="48"/>
    </row>
    <row r="662">
      <c r="A662" s="392"/>
      <c r="B662" s="389"/>
      <c r="C662" s="370"/>
      <c r="D662" s="388"/>
      <c r="E662" s="383"/>
      <c r="F662" s="60"/>
      <c r="G662" s="48"/>
      <c r="H662" s="60"/>
      <c r="I662" s="60"/>
      <c r="J662" s="60"/>
      <c r="K662" s="60"/>
      <c r="L662" s="48"/>
      <c r="M662" s="60"/>
      <c r="N662" s="60"/>
      <c r="O662" s="48"/>
      <c r="P662" s="48"/>
      <c r="Q662" s="48"/>
    </row>
    <row r="663">
      <c r="A663" s="392"/>
      <c r="B663" s="389"/>
      <c r="C663" s="370"/>
      <c r="D663" s="388"/>
      <c r="E663" s="370"/>
      <c r="F663" s="60"/>
      <c r="G663" s="48"/>
      <c r="H663" s="60"/>
      <c r="I663" s="60"/>
      <c r="J663" s="60"/>
      <c r="K663" s="60"/>
      <c r="L663" s="48"/>
      <c r="M663" s="60"/>
      <c r="N663" s="60"/>
      <c r="O663" s="48"/>
      <c r="P663" s="48"/>
      <c r="Q663" s="48"/>
    </row>
    <row r="664">
      <c r="A664" s="360"/>
      <c r="B664" s="360"/>
      <c r="C664" s="361"/>
      <c r="D664" s="360"/>
      <c r="E664" s="362"/>
      <c r="F664" s="60"/>
      <c r="G664" s="48"/>
      <c r="H664" s="60"/>
      <c r="I664" s="60"/>
      <c r="J664" s="60"/>
      <c r="K664" s="60"/>
      <c r="L664" s="48"/>
      <c r="M664" s="60"/>
      <c r="N664" s="60"/>
      <c r="O664" s="48"/>
      <c r="P664" s="48"/>
      <c r="Q664" s="48"/>
    </row>
    <row r="665">
      <c r="A665" s="367"/>
      <c r="B665" s="389"/>
      <c r="C665" s="370"/>
      <c r="D665" s="388"/>
      <c r="E665" s="370"/>
      <c r="F665" s="60"/>
      <c r="G665" s="48"/>
      <c r="H665" s="60"/>
      <c r="I665" s="60"/>
      <c r="J665" s="60"/>
      <c r="K665" s="60"/>
      <c r="L665" s="48"/>
      <c r="M665" s="60"/>
      <c r="N665" s="60"/>
      <c r="O665" s="48"/>
      <c r="P665" s="48"/>
      <c r="Q665" s="48"/>
    </row>
    <row r="666">
      <c r="A666" s="367"/>
      <c r="B666" s="389"/>
      <c r="C666" s="370"/>
      <c r="D666" s="393"/>
      <c r="E666" s="370"/>
      <c r="F666" s="60"/>
      <c r="G666" s="48"/>
      <c r="H666" s="60"/>
      <c r="I666" s="60"/>
      <c r="J666" s="60"/>
      <c r="K666" s="60"/>
      <c r="L666" s="48"/>
      <c r="M666" s="60"/>
      <c r="N666" s="60"/>
      <c r="O666" s="48"/>
      <c r="P666" s="48"/>
      <c r="Q666" s="48"/>
    </row>
    <row r="667">
      <c r="A667" s="367"/>
      <c r="B667" s="389"/>
      <c r="C667" s="370"/>
      <c r="D667" s="388"/>
      <c r="E667" s="370"/>
      <c r="F667" s="60"/>
      <c r="G667" s="48"/>
      <c r="H667" s="60"/>
      <c r="I667" s="60"/>
      <c r="J667" s="60"/>
      <c r="K667" s="60"/>
      <c r="L667" s="48"/>
      <c r="M667" s="60"/>
      <c r="N667" s="60"/>
      <c r="O667" s="48"/>
      <c r="P667" s="48"/>
      <c r="Q667" s="48"/>
    </row>
    <row r="668">
      <c r="A668" s="367"/>
      <c r="B668" s="389"/>
      <c r="C668" s="370"/>
      <c r="D668" s="388"/>
      <c r="E668" s="370"/>
      <c r="F668" s="60"/>
      <c r="G668" s="48"/>
      <c r="H668" s="60"/>
      <c r="I668" s="60"/>
      <c r="J668" s="60"/>
      <c r="K668" s="60"/>
      <c r="L668" s="48"/>
      <c r="M668" s="60"/>
      <c r="N668" s="60"/>
      <c r="O668" s="48"/>
      <c r="P668" s="48"/>
      <c r="Q668" s="48"/>
    </row>
    <row r="669">
      <c r="A669" s="367"/>
      <c r="B669" s="389"/>
      <c r="C669" s="370"/>
      <c r="D669" s="388"/>
      <c r="E669" s="370"/>
      <c r="F669" s="60"/>
      <c r="G669" s="48"/>
      <c r="H669" s="60"/>
      <c r="I669" s="60"/>
      <c r="J669" s="60"/>
      <c r="K669" s="60"/>
      <c r="L669" s="48"/>
      <c r="M669" s="60"/>
      <c r="N669" s="60"/>
      <c r="O669" s="48"/>
      <c r="P669" s="48"/>
      <c r="Q669" s="48"/>
    </row>
    <row r="670">
      <c r="A670" s="367"/>
      <c r="B670" s="389"/>
      <c r="C670" s="370"/>
      <c r="D670" s="388"/>
      <c r="E670" s="370"/>
      <c r="F670" s="60"/>
      <c r="G670" s="48"/>
      <c r="H670" s="60"/>
      <c r="I670" s="60"/>
      <c r="J670" s="60"/>
      <c r="K670" s="60"/>
      <c r="L670" s="48"/>
      <c r="M670" s="60"/>
      <c r="N670" s="60"/>
      <c r="O670" s="48"/>
      <c r="P670" s="48"/>
      <c r="Q670" s="48"/>
    </row>
    <row r="671">
      <c r="A671" s="392"/>
      <c r="B671" s="389"/>
      <c r="C671" s="370"/>
      <c r="D671" s="388"/>
      <c r="E671" s="370"/>
      <c r="F671" s="60"/>
      <c r="G671" s="48"/>
      <c r="H671" s="60"/>
      <c r="I671" s="60"/>
      <c r="J671" s="60"/>
      <c r="K671" s="60"/>
      <c r="L671" s="48"/>
      <c r="M671" s="60"/>
      <c r="N671" s="60"/>
      <c r="O671" s="48"/>
      <c r="P671" s="48"/>
      <c r="Q671" s="48"/>
    </row>
    <row r="672">
      <c r="A672" s="392"/>
      <c r="B672" s="389"/>
      <c r="C672" s="370"/>
      <c r="D672" s="388"/>
      <c r="E672" s="384"/>
      <c r="F672" s="60"/>
      <c r="G672" s="48"/>
      <c r="H672" s="60"/>
      <c r="I672" s="60"/>
      <c r="J672" s="60"/>
      <c r="K672" s="60"/>
      <c r="L672" s="48"/>
      <c r="M672" s="60"/>
      <c r="N672" s="60"/>
      <c r="O672" s="48"/>
      <c r="P672" s="48"/>
      <c r="Q672" s="48"/>
    </row>
    <row r="673">
      <c r="A673" s="367"/>
      <c r="B673" s="389"/>
      <c r="C673" s="370"/>
      <c r="D673" s="388"/>
      <c r="E673" s="383"/>
      <c r="F673" s="60"/>
      <c r="G673" s="48"/>
      <c r="H673" s="60"/>
      <c r="I673" s="60"/>
      <c r="J673" s="60"/>
      <c r="K673" s="60"/>
      <c r="L673" s="48"/>
      <c r="M673" s="60"/>
      <c r="N673" s="60"/>
      <c r="O673" s="48"/>
      <c r="P673" s="48"/>
      <c r="Q673" s="48"/>
    </row>
    <row r="674">
      <c r="A674" s="367"/>
      <c r="B674" s="389"/>
      <c r="C674" s="370"/>
      <c r="D674" s="388"/>
      <c r="E674" s="370"/>
      <c r="F674" s="60"/>
      <c r="G674" s="48"/>
      <c r="H674" s="60"/>
      <c r="I674" s="60"/>
      <c r="J674" s="60"/>
      <c r="K674" s="60"/>
      <c r="L674" s="48"/>
      <c r="M674" s="60"/>
      <c r="N674" s="60"/>
      <c r="O674" s="48"/>
      <c r="P674" s="48"/>
      <c r="Q674" s="48"/>
    </row>
    <row r="675">
      <c r="A675" s="392"/>
      <c r="B675" s="389"/>
      <c r="C675" s="370"/>
      <c r="D675" s="388"/>
      <c r="E675" s="384"/>
      <c r="F675" s="60"/>
      <c r="G675" s="48"/>
      <c r="H675" s="60"/>
      <c r="I675" s="60"/>
      <c r="J675" s="60"/>
      <c r="K675" s="60"/>
      <c r="L675" s="48"/>
      <c r="M675" s="60"/>
      <c r="N675" s="60"/>
      <c r="O675" s="48"/>
      <c r="P675" s="48"/>
      <c r="Q675" s="48"/>
    </row>
    <row r="676">
      <c r="A676" s="367"/>
      <c r="B676" s="389"/>
      <c r="C676" s="370"/>
      <c r="D676" s="388"/>
      <c r="E676" s="384"/>
      <c r="F676" s="60"/>
      <c r="G676" s="48"/>
      <c r="H676" s="60"/>
      <c r="I676" s="60"/>
      <c r="J676" s="60"/>
      <c r="K676" s="60"/>
      <c r="L676" s="48"/>
      <c r="M676" s="60"/>
      <c r="N676" s="60"/>
      <c r="O676" s="48"/>
      <c r="P676" s="48"/>
      <c r="Q676" s="48"/>
    </row>
    <row r="677">
      <c r="A677" s="392"/>
      <c r="B677" s="389"/>
      <c r="C677" s="370"/>
      <c r="D677" s="393"/>
      <c r="E677" s="384"/>
      <c r="F677" s="60"/>
      <c r="G677" s="48"/>
      <c r="H677" s="60"/>
      <c r="I677" s="60"/>
      <c r="J677" s="60"/>
      <c r="K677" s="60"/>
      <c r="L677" s="48"/>
      <c r="M677" s="60"/>
      <c r="N677" s="60"/>
      <c r="O677" s="48"/>
      <c r="P677" s="48"/>
      <c r="Q677" s="48"/>
    </row>
    <row r="678">
      <c r="A678" s="392"/>
      <c r="B678" s="389"/>
      <c r="C678" s="370"/>
      <c r="D678" s="388"/>
      <c r="E678" s="384"/>
      <c r="F678" s="60"/>
      <c r="G678" s="48"/>
      <c r="H678" s="60"/>
      <c r="I678" s="60"/>
      <c r="J678" s="60"/>
      <c r="K678" s="60"/>
      <c r="L678" s="48"/>
      <c r="M678" s="60"/>
      <c r="N678" s="60"/>
      <c r="O678" s="48"/>
      <c r="P678" s="48"/>
      <c r="Q678" s="48"/>
    </row>
    <row r="679">
      <c r="A679" s="367"/>
      <c r="B679" s="389"/>
      <c r="C679" s="370"/>
      <c r="D679" s="388"/>
      <c r="E679" s="370"/>
      <c r="F679" s="60"/>
      <c r="G679" s="48"/>
      <c r="H679" s="60"/>
      <c r="I679" s="60"/>
      <c r="J679" s="60"/>
      <c r="K679" s="60"/>
      <c r="L679" s="48"/>
      <c r="M679" s="60"/>
      <c r="N679" s="60"/>
      <c r="O679" s="48"/>
      <c r="P679" s="48"/>
      <c r="Q679" s="48"/>
    </row>
    <row r="680">
      <c r="A680" s="392"/>
      <c r="B680" s="389"/>
      <c r="C680" s="370"/>
      <c r="D680" s="388"/>
      <c r="E680" s="370"/>
      <c r="F680" s="60"/>
      <c r="G680" s="48"/>
      <c r="H680" s="60"/>
      <c r="I680" s="60"/>
      <c r="J680" s="60"/>
      <c r="K680" s="60"/>
      <c r="L680" s="48"/>
      <c r="M680" s="60"/>
      <c r="N680" s="60"/>
      <c r="O680" s="48"/>
      <c r="P680" s="48"/>
      <c r="Q680" s="48"/>
    </row>
    <row r="681">
      <c r="A681" s="392"/>
      <c r="B681" s="389"/>
      <c r="C681" s="370"/>
      <c r="D681" s="388"/>
      <c r="E681" s="384"/>
      <c r="F681" s="60"/>
      <c r="G681" s="48"/>
      <c r="H681" s="60"/>
      <c r="I681" s="60"/>
      <c r="J681" s="60"/>
      <c r="K681" s="60"/>
      <c r="L681" s="48"/>
      <c r="M681" s="60"/>
      <c r="N681" s="60"/>
      <c r="O681" s="48"/>
      <c r="P681" s="48"/>
      <c r="Q681" s="48"/>
    </row>
    <row r="682">
      <c r="A682" s="367"/>
      <c r="B682" s="389"/>
      <c r="C682" s="370"/>
      <c r="D682" s="388"/>
      <c r="E682" s="383"/>
      <c r="F682" s="60"/>
      <c r="G682" s="48"/>
      <c r="H682" s="60"/>
      <c r="I682" s="60"/>
      <c r="J682" s="60"/>
      <c r="K682" s="60"/>
      <c r="L682" s="48"/>
      <c r="M682" s="60"/>
      <c r="N682" s="60"/>
      <c r="O682" s="48"/>
      <c r="P682" s="48"/>
      <c r="Q682" s="48"/>
    </row>
    <row r="683">
      <c r="A683" s="392"/>
      <c r="B683" s="389"/>
      <c r="C683" s="370"/>
      <c r="D683" s="388"/>
      <c r="E683" s="384"/>
      <c r="F683" s="60"/>
      <c r="G683" s="48"/>
      <c r="H683" s="60"/>
      <c r="I683" s="60"/>
      <c r="J683" s="60"/>
      <c r="K683" s="60"/>
      <c r="L683" s="48"/>
      <c r="M683" s="60"/>
      <c r="N683" s="60"/>
      <c r="O683" s="48"/>
      <c r="P683" s="48"/>
      <c r="Q683" s="48"/>
    </row>
    <row r="684">
      <c r="A684" s="392"/>
      <c r="B684" s="389"/>
      <c r="C684" s="370"/>
      <c r="D684" s="388"/>
      <c r="E684" s="383"/>
      <c r="F684" s="60"/>
      <c r="G684" s="48"/>
      <c r="H684" s="60"/>
      <c r="I684" s="60"/>
      <c r="J684" s="60"/>
      <c r="K684" s="60"/>
      <c r="L684" s="48"/>
      <c r="M684" s="60"/>
      <c r="N684" s="60"/>
      <c r="O684" s="48"/>
      <c r="P684" s="48"/>
      <c r="Q684" s="48"/>
    </row>
    <row r="685">
      <c r="A685" s="392"/>
      <c r="B685" s="389"/>
      <c r="C685" s="370"/>
      <c r="D685" s="388"/>
      <c r="E685" s="384"/>
      <c r="F685" s="60"/>
      <c r="G685" s="48"/>
      <c r="H685" s="60"/>
      <c r="I685" s="60"/>
      <c r="J685" s="60"/>
      <c r="K685" s="60"/>
      <c r="L685" s="48"/>
      <c r="M685" s="60"/>
      <c r="N685" s="60"/>
      <c r="O685" s="48"/>
      <c r="P685" s="48"/>
      <c r="Q685" s="48"/>
    </row>
    <row r="686">
      <c r="A686" s="367"/>
      <c r="B686" s="389"/>
      <c r="C686" s="370"/>
      <c r="D686" s="388"/>
      <c r="E686" s="370"/>
      <c r="F686" s="60"/>
      <c r="G686" s="48"/>
      <c r="H686" s="60"/>
      <c r="I686" s="60"/>
      <c r="J686" s="60"/>
      <c r="K686" s="60"/>
      <c r="L686" s="48"/>
      <c r="M686" s="60"/>
      <c r="N686" s="60"/>
      <c r="O686" s="48"/>
      <c r="P686" s="48"/>
      <c r="Q686" s="48"/>
    </row>
    <row r="687">
      <c r="A687" s="367"/>
      <c r="B687" s="389"/>
      <c r="C687" s="370"/>
      <c r="D687" s="388"/>
      <c r="E687" s="370"/>
      <c r="F687" s="60"/>
      <c r="G687" s="48"/>
      <c r="H687" s="60"/>
      <c r="I687" s="60"/>
      <c r="J687" s="60"/>
      <c r="K687" s="60"/>
      <c r="L687" s="48"/>
      <c r="M687" s="60"/>
      <c r="N687" s="60"/>
      <c r="O687" s="48"/>
      <c r="P687" s="48"/>
      <c r="Q687" s="48"/>
    </row>
    <row r="688">
      <c r="A688" s="392"/>
      <c r="B688" s="389"/>
      <c r="C688" s="370"/>
      <c r="D688" s="388"/>
      <c r="E688" s="384"/>
      <c r="F688" s="60"/>
      <c r="G688" s="48"/>
      <c r="H688" s="60"/>
      <c r="I688" s="60"/>
      <c r="J688" s="60"/>
      <c r="K688" s="60"/>
      <c r="L688" s="48"/>
      <c r="M688" s="60"/>
      <c r="N688" s="60"/>
      <c r="O688" s="48"/>
      <c r="P688" s="48"/>
      <c r="Q688" s="48"/>
    </row>
    <row r="689">
      <c r="A689" s="392"/>
      <c r="B689" s="389"/>
      <c r="C689" s="370"/>
      <c r="D689" s="388"/>
      <c r="E689" s="383"/>
      <c r="F689" s="60"/>
      <c r="G689" s="48"/>
      <c r="H689" s="60"/>
      <c r="I689" s="60"/>
      <c r="J689" s="60"/>
      <c r="K689" s="60"/>
      <c r="L689" s="48"/>
      <c r="M689" s="60"/>
      <c r="N689" s="60"/>
      <c r="O689" s="48"/>
      <c r="P689" s="48"/>
      <c r="Q689" s="48"/>
    </row>
    <row r="690">
      <c r="A690" s="392"/>
      <c r="B690" s="389"/>
      <c r="C690" s="370"/>
      <c r="D690" s="388"/>
      <c r="E690" s="370"/>
      <c r="F690" s="60"/>
      <c r="G690" s="48"/>
      <c r="H690" s="60"/>
      <c r="I690" s="60"/>
      <c r="J690" s="60"/>
      <c r="K690" s="60"/>
      <c r="L690" s="48"/>
      <c r="M690" s="60"/>
      <c r="N690" s="60"/>
      <c r="O690" s="48"/>
      <c r="P690" s="48"/>
      <c r="Q690" s="48"/>
    </row>
    <row r="691">
      <c r="A691" s="367"/>
      <c r="B691" s="389"/>
      <c r="C691" s="370"/>
      <c r="D691" s="388"/>
      <c r="E691" s="370"/>
      <c r="F691" s="60"/>
      <c r="G691" s="48"/>
      <c r="H691" s="60"/>
      <c r="I691" s="60"/>
      <c r="J691" s="60"/>
      <c r="K691" s="60"/>
      <c r="L691" s="48"/>
      <c r="M691" s="60"/>
      <c r="N691" s="60"/>
      <c r="O691" s="48"/>
      <c r="P691" s="48"/>
      <c r="Q691" s="48"/>
    </row>
    <row r="692">
      <c r="A692" s="367"/>
      <c r="B692" s="389"/>
      <c r="C692" s="370"/>
      <c r="D692" s="388"/>
      <c r="E692" s="370"/>
      <c r="F692" s="60"/>
      <c r="G692" s="48"/>
      <c r="H692" s="60"/>
      <c r="I692" s="60"/>
      <c r="J692" s="60"/>
      <c r="K692" s="60"/>
      <c r="L692" s="48"/>
      <c r="M692" s="60"/>
      <c r="N692" s="60"/>
      <c r="O692" s="48"/>
      <c r="P692" s="48"/>
      <c r="Q692" s="48"/>
    </row>
    <row r="693">
      <c r="A693" s="367"/>
      <c r="B693" s="389"/>
      <c r="C693" s="370"/>
      <c r="D693" s="393"/>
      <c r="E693" s="370"/>
      <c r="F693" s="60"/>
      <c r="G693" s="48"/>
      <c r="H693" s="60"/>
      <c r="I693" s="60"/>
      <c r="J693" s="60"/>
      <c r="K693" s="60"/>
      <c r="L693" s="48"/>
      <c r="M693" s="60"/>
      <c r="N693" s="60"/>
      <c r="O693" s="48"/>
      <c r="P693" s="48"/>
      <c r="Q693" s="48"/>
    </row>
    <row r="694">
      <c r="A694" s="367"/>
      <c r="B694" s="389"/>
      <c r="C694" s="370"/>
      <c r="D694" s="388"/>
      <c r="E694" s="384"/>
      <c r="F694" s="60"/>
      <c r="G694" s="48"/>
      <c r="H694" s="60"/>
      <c r="I694" s="60"/>
      <c r="J694" s="60"/>
      <c r="K694" s="60"/>
      <c r="L694" s="48"/>
      <c r="M694" s="60"/>
      <c r="N694" s="60"/>
      <c r="O694" s="48"/>
      <c r="P694" s="48"/>
      <c r="Q694" s="48"/>
    </row>
    <row r="695">
      <c r="A695" s="367"/>
      <c r="B695" s="389"/>
      <c r="C695" s="370"/>
      <c r="D695" s="388"/>
      <c r="E695" s="370"/>
      <c r="F695" s="60"/>
      <c r="G695" s="48"/>
      <c r="H695" s="60"/>
      <c r="I695" s="60"/>
      <c r="J695" s="60"/>
      <c r="K695" s="60"/>
      <c r="L695" s="48"/>
      <c r="M695" s="60"/>
      <c r="N695" s="60"/>
      <c r="O695" s="48"/>
      <c r="P695" s="48"/>
      <c r="Q695" s="48"/>
    </row>
    <row r="696">
      <c r="A696" s="367"/>
      <c r="B696" s="389"/>
      <c r="C696" s="370"/>
      <c r="D696" s="388"/>
      <c r="E696" s="384"/>
      <c r="F696" s="60"/>
      <c r="G696" s="48"/>
      <c r="H696" s="60"/>
      <c r="I696" s="60"/>
      <c r="J696" s="60"/>
      <c r="K696" s="60"/>
      <c r="L696" s="48"/>
      <c r="M696" s="60"/>
      <c r="N696" s="60"/>
      <c r="O696" s="48"/>
      <c r="P696" s="48"/>
      <c r="Q696" s="48"/>
    </row>
    <row r="697">
      <c r="A697" s="367"/>
      <c r="B697" s="389"/>
      <c r="C697" s="370"/>
      <c r="D697" s="388"/>
      <c r="E697" s="370"/>
      <c r="F697" s="60"/>
      <c r="G697" s="48"/>
      <c r="H697" s="60"/>
      <c r="I697" s="60"/>
      <c r="J697" s="60"/>
      <c r="K697" s="60"/>
      <c r="L697" s="48"/>
      <c r="M697" s="60"/>
      <c r="N697" s="60"/>
      <c r="O697" s="48"/>
      <c r="P697" s="48"/>
      <c r="Q697" s="48"/>
    </row>
    <row r="698">
      <c r="A698" s="367"/>
      <c r="B698" s="389"/>
      <c r="C698" s="370"/>
      <c r="D698" s="388"/>
      <c r="E698" s="370"/>
      <c r="F698" s="60"/>
      <c r="G698" s="48"/>
      <c r="H698" s="60"/>
      <c r="I698" s="60"/>
      <c r="J698" s="60"/>
      <c r="K698" s="60"/>
      <c r="L698" s="48"/>
      <c r="M698" s="60"/>
      <c r="N698" s="60"/>
      <c r="O698" s="48"/>
      <c r="P698" s="48"/>
      <c r="Q698" s="48"/>
    </row>
    <row r="699">
      <c r="A699" s="392"/>
      <c r="B699" s="389"/>
      <c r="C699" s="370"/>
      <c r="D699" s="388"/>
      <c r="E699" s="383"/>
      <c r="F699" s="60"/>
      <c r="G699" s="48"/>
      <c r="H699" s="60"/>
      <c r="I699" s="60"/>
      <c r="J699" s="60"/>
      <c r="K699" s="60"/>
      <c r="L699" s="48"/>
      <c r="M699" s="60"/>
      <c r="N699" s="60"/>
      <c r="O699" s="48"/>
      <c r="P699" s="48"/>
      <c r="Q699" s="48"/>
    </row>
    <row r="700">
      <c r="A700" s="392"/>
      <c r="B700" s="389"/>
      <c r="C700" s="370"/>
      <c r="D700" s="388"/>
      <c r="E700" s="370"/>
      <c r="F700" s="60"/>
      <c r="G700" s="48"/>
      <c r="H700" s="60"/>
      <c r="I700" s="60"/>
      <c r="J700" s="60"/>
      <c r="K700" s="60"/>
      <c r="L700" s="48"/>
      <c r="M700" s="60"/>
      <c r="N700" s="60"/>
      <c r="O700" s="48"/>
      <c r="P700" s="48"/>
      <c r="Q700" s="48"/>
    </row>
    <row r="701">
      <c r="A701" s="367"/>
      <c r="B701" s="389"/>
      <c r="C701" s="370"/>
      <c r="D701" s="388"/>
      <c r="E701" s="370"/>
      <c r="F701" s="60"/>
      <c r="G701" s="48"/>
      <c r="H701" s="60"/>
      <c r="I701" s="60"/>
      <c r="J701" s="60"/>
      <c r="K701" s="60"/>
      <c r="L701" s="48"/>
      <c r="M701" s="60"/>
      <c r="N701" s="60"/>
      <c r="O701" s="48"/>
      <c r="P701" s="48"/>
      <c r="Q701" s="48"/>
    </row>
    <row r="702">
      <c r="A702" s="392"/>
      <c r="B702" s="389"/>
      <c r="C702" s="370"/>
      <c r="D702" s="388"/>
      <c r="E702" s="384"/>
      <c r="F702" s="60"/>
      <c r="G702" s="48"/>
      <c r="H702" s="60"/>
      <c r="I702" s="60"/>
      <c r="J702" s="60"/>
      <c r="K702" s="60"/>
      <c r="L702" s="48"/>
      <c r="M702" s="60"/>
      <c r="N702" s="60"/>
      <c r="O702" s="48"/>
      <c r="P702" s="48"/>
      <c r="Q702" s="48"/>
    </row>
    <row r="703">
      <c r="A703" s="392"/>
      <c r="B703" s="389"/>
      <c r="C703" s="370"/>
      <c r="D703" s="388"/>
      <c r="E703" s="383"/>
      <c r="F703" s="60"/>
      <c r="G703" s="48"/>
      <c r="H703" s="60"/>
      <c r="I703" s="60"/>
      <c r="J703" s="60"/>
      <c r="K703" s="60"/>
      <c r="L703" s="48"/>
      <c r="M703" s="60"/>
      <c r="N703" s="60"/>
      <c r="O703" s="48"/>
      <c r="P703" s="48"/>
      <c r="Q703" s="48"/>
    </row>
    <row r="704">
      <c r="A704" s="392"/>
      <c r="B704" s="389"/>
      <c r="C704" s="370"/>
      <c r="D704" s="388"/>
      <c r="E704" s="370"/>
      <c r="F704" s="60"/>
      <c r="G704" s="48"/>
      <c r="H704" s="60"/>
      <c r="I704" s="60"/>
      <c r="J704" s="60"/>
      <c r="K704" s="60"/>
      <c r="L704" s="48"/>
      <c r="M704" s="60"/>
      <c r="N704" s="60"/>
      <c r="O704" s="48"/>
      <c r="P704" s="48"/>
      <c r="Q704" s="48"/>
    </row>
    <row r="705">
      <c r="A705" s="360"/>
      <c r="B705" s="360"/>
      <c r="C705" s="361"/>
      <c r="D705" s="360"/>
      <c r="E705" s="362"/>
      <c r="F705" s="60"/>
      <c r="G705" s="48"/>
      <c r="H705" s="60"/>
      <c r="I705" s="60"/>
      <c r="J705" s="60"/>
      <c r="K705" s="60"/>
      <c r="L705" s="48"/>
      <c r="M705" s="60"/>
      <c r="N705" s="60"/>
      <c r="O705" s="48"/>
      <c r="P705" s="48"/>
      <c r="Q705" s="48"/>
    </row>
    <row r="706">
      <c r="A706" s="367"/>
      <c r="B706" s="389"/>
      <c r="C706" s="370"/>
      <c r="D706" s="388"/>
      <c r="E706" s="370"/>
      <c r="F706" s="60"/>
      <c r="G706" s="48"/>
      <c r="H706" s="60"/>
      <c r="I706" s="60"/>
      <c r="J706" s="60"/>
      <c r="K706" s="60"/>
      <c r="L706" s="48"/>
      <c r="M706" s="60"/>
      <c r="N706" s="60"/>
      <c r="O706" s="48"/>
      <c r="P706" s="48"/>
      <c r="Q706" s="48"/>
    </row>
    <row r="707">
      <c r="A707" s="367"/>
      <c r="B707" s="389"/>
      <c r="C707" s="370"/>
      <c r="D707" s="393"/>
      <c r="E707" s="370"/>
      <c r="F707" s="60"/>
      <c r="G707" s="48"/>
      <c r="H707" s="60"/>
      <c r="I707" s="60"/>
      <c r="J707" s="60"/>
      <c r="K707" s="60"/>
      <c r="L707" s="48"/>
      <c r="M707" s="60"/>
      <c r="N707" s="60"/>
      <c r="O707" s="48"/>
      <c r="P707" s="48"/>
      <c r="Q707" s="48"/>
    </row>
    <row r="708">
      <c r="A708" s="367"/>
      <c r="B708" s="389"/>
      <c r="C708" s="370"/>
      <c r="D708" s="388"/>
      <c r="E708" s="370"/>
      <c r="F708" s="60"/>
      <c r="G708" s="48"/>
      <c r="H708" s="60"/>
      <c r="I708" s="60"/>
      <c r="J708" s="60"/>
      <c r="K708" s="60"/>
      <c r="L708" s="48"/>
      <c r="M708" s="60"/>
      <c r="N708" s="60"/>
      <c r="O708" s="48"/>
      <c r="P708" s="48"/>
      <c r="Q708" s="48"/>
    </row>
    <row r="709">
      <c r="A709" s="367"/>
      <c r="B709" s="389"/>
      <c r="C709" s="370"/>
      <c r="D709" s="388"/>
      <c r="E709" s="370"/>
      <c r="F709" s="60"/>
      <c r="G709" s="48"/>
      <c r="H709" s="60"/>
      <c r="I709" s="60"/>
      <c r="J709" s="60"/>
      <c r="K709" s="60"/>
      <c r="L709" s="48"/>
      <c r="M709" s="60"/>
      <c r="N709" s="60"/>
      <c r="O709" s="48"/>
      <c r="P709" s="48"/>
      <c r="Q709" s="48"/>
    </row>
    <row r="710">
      <c r="A710" s="367"/>
      <c r="B710" s="389"/>
      <c r="C710" s="370"/>
      <c r="D710" s="388"/>
      <c r="E710" s="370"/>
      <c r="F710" s="60"/>
      <c r="G710" s="48"/>
      <c r="H710" s="60"/>
      <c r="I710" s="60"/>
      <c r="J710" s="60"/>
      <c r="K710" s="60"/>
      <c r="L710" s="48"/>
      <c r="M710" s="60"/>
      <c r="N710" s="60"/>
      <c r="O710" s="48"/>
      <c r="P710" s="48"/>
      <c r="Q710" s="48"/>
    </row>
    <row r="711">
      <c r="A711" s="367"/>
      <c r="B711" s="389"/>
      <c r="C711" s="370"/>
      <c r="D711" s="388"/>
      <c r="E711" s="370"/>
      <c r="F711" s="60"/>
      <c r="G711" s="48"/>
      <c r="H711" s="60"/>
      <c r="I711" s="60"/>
      <c r="J711" s="60"/>
      <c r="K711" s="60"/>
      <c r="L711" s="48"/>
      <c r="M711" s="60"/>
      <c r="N711" s="60"/>
      <c r="O711" s="48"/>
      <c r="P711" s="48"/>
      <c r="Q711" s="48"/>
    </row>
    <row r="712">
      <c r="A712" s="392"/>
      <c r="B712" s="389"/>
      <c r="C712" s="370"/>
      <c r="D712" s="388"/>
      <c r="E712" s="370"/>
      <c r="F712" s="60"/>
      <c r="G712" s="48"/>
      <c r="H712" s="60"/>
      <c r="I712" s="60"/>
      <c r="J712" s="60"/>
      <c r="K712" s="60"/>
      <c r="L712" s="48"/>
      <c r="M712" s="60"/>
      <c r="N712" s="60"/>
      <c r="O712" s="48"/>
      <c r="P712" s="48"/>
      <c r="Q712" s="48"/>
    </row>
    <row r="713">
      <c r="A713" s="392"/>
      <c r="B713" s="389"/>
      <c r="C713" s="370"/>
      <c r="D713" s="388"/>
      <c r="E713" s="384"/>
      <c r="F713" s="60"/>
      <c r="G713" s="48"/>
      <c r="H713" s="60"/>
      <c r="I713" s="60"/>
      <c r="J713" s="60"/>
      <c r="K713" s="60"/>
      <c r="L713" s="48"/>
      <c r="M713" s="60"/>
      <c r="N713" s="60"/>
      <c r="O713" s="48"/>
      <c r="P713" s="48"/>
      <c r="Q713" s="48"/>
    </row>
    <row r="714">
      <c r="A714" s="367"/>
      <c r="B714" s="389"/>
      <c r="C714" s="370"/>
      <c r="D714" s="388"/>
      <c r="E714" s="383"/>
      <c r="F714" s="60"/>
      <c r="G714" s="48"/>
      <c r="H714" s="60"/>
      <c r="I714" s="60"/>
      <c r="J714" s="60"/>
      <c r="K714" s="60"/>
      <c r="L714" s="48"/>
      <c r="M714" s="60"/>
      <c r="N714" s="60"/>
      <c r="O714" s="48"/>
      <c r="P714" s="48"/>
      <c r="Q714" s="48"/>
    </row>
    <row r="715">
      <c r="A715" s="367"/>
      <c r="B715" s="389"/>
      <c r="C715" s="370"/>
      <c r="D715" s="388"/>
      <c r="E715" s="370"/>
      <c r="F715" s="60"/>
      <c r="G715" s="48"/>
      <c r="H715" s="60"/>
      <c r="I715" s="60"/>
      <c r="J715" s="60"/>
      <c r="K715" s="60"/>
      <c r="L715" s="48"/>
      <c r="M715" s="60"/>
      <c r="N715" s="60"/>
      <c r="O715" s="48"/>
      <c r="P715" s="48"/>
      <c r="Q715" s="48"/>
    </row>
    <row r="716">
      <c r="A716" s="392"/>
      <c r="B716" s="389"/>
      <c r="C716" s="370"/>
      <c r="D716" s="388"/>
      <c r="E716" s="384"/>
      <c r="F716" s="60"/>
      <c r="G716" s="48"/>
      <c r="H716" s="60"/>
      <c r="I716" s="60"/>
      <c r="J716" s="60"/>
      <c r="K716" s="60"/>
      <c r="L716" s="48"/>
      <c r="M716" s="60"/>
      <c r="N716" s="60"/>
      <c r="O716" s="48"/>
      <c r="P716" s="48"/>
      <c r="Q716" s="48"/>
    </row>
    <row r="717">
      <c r="A717" s="367"/>
      <c r="B717" s="389"/>
      <c r="C717" s="370"/>
      <c r="D717" s="388"/>
      <c r="E717" s="384"/>
      <c r="F717" s="60"/>
      <c r="G717" s="48"/>
      <c r="H717" s="60"/>
      <c r="I717" s="60"/>
      <c r="J717" s="60"/>
      <c r="K717" s="60"/>
      <c r="L717" s="48"/>
      <c r="M717" s="60"/>
      <c r="N717" s="60"/>
      <c r="O717" s="48"/>
      <c r="P717" s="48"/>
      <c r="Q717" s="48"/>
    </row>
    <row r="718">
      <c r="A718" s="392"/>
      <c r="B718" s="389"/>
      <c r="C718" s="370"/>
      <c r="D718" s="393"/>
      <c r="E718" s="384"/>
      <c r="F718" s="60"/>
      <c r="G718" s="48"/>
      <c r="H718" s="60"/>
      <c r="I718" s="60"/>
      <c r="J718" s="60"/>
      <c r="K718" s="60"/>
      <c r="L718" s="48"/>
      <c r="M718" s="60"/>
      <c r="N718" s="60"/>
      <c r="O718" s="48"/>
      <c r="P718" s="48"/>
      <c r="Q718" s="48"/>
    </row>
    <row r="719">
      <c r="A719" s="392"/>
      <c r="B719" s="389"/>
      <c r="C719" s="370"/>
      <c r="D719" s="388"/>
      <c r="E719" s="384"/>
      <c r="F719" s="60"/>
      <c r="G719" s="48"/>
      <c r="H719" s="60"/>
      <c r="I719" s="60"/>
      <c r="J719" s="60"/>
      <c r="K719" s="60"/>
      <c r="L719" s="48"/>
      <c r="M719" s="60"/>
      <c r="N719" s="60"/>
      <c r="O719" s="48"/>
      <c r="P719" s="48"/>
      <c r="Q719" s="48"/>
    </row>
    <row r="720">
      <c r="A720" s="367"/>
      <c r="B720" s="389"/>
      <c r="C720" s="370"/>
      <c r="D720" s="388"/>
      <c r="E720" s="370"/>
      <c r="F720" s="60"/>
      <c r="G720" s="48"/>
      <c r="H720" s="60"/>
      <c r="I720" s="60"/>
      <c r="J720" s="60"/>
      <c r="K720" s="60"/>
      <c r="L720" s="48"/>
      <c r="M720" s="60"/>
      <c r="N720" s="60"/>
      <c r="O720" s="48"/>
      <c r="P720" s="48"/>
      <c r="Q720" s="48"/>
    </row>
    <row r="721">
      <c r="A721" s="392"/>
      <c r="B721" s="389"/>
      <c r="C721" s="370"/>
      <c r="D721" s="388"/>
      <c r="E721" s="370"/>
      <c r="F721" s="60"/>
      <c r="G721" s="48"/>
      <c r="H721" s="60"/>
      <c r="I721" s="60"/>
      <c r="J721" s="60"/>
      <c r="K721" s="60"/>
      <c r="L721" s="48"/>
      <c r="M721" s="60"/>
      <c r="N721" s="60"/>
      <c r="O721" s="48"/>
      <c r="P721" s="48"/>
      <c r="Q721" s="48"/>
    </row>
    <row r="722">
      <c r="A722" s="392"/>
      <c r="B722" s="389"/>
      <c r="C722" s="370"/>
      <c r="D722" s="388"/>
      <c r="E722" s="384"/>
      <c r="F722" s="60"/>
      <c r="G722" s="48"/>
      <c r="H722" s="60"/>
      <c r="I722" s="60"/>
      <c r="J722" s="60"/>
      <c r="K722" s="60"/>
      <c r="L722" s="48"/>
      <c r="M722" s="60"/>
      <c r="N722" s="60"/>
      <c r="O722" s="48"/>
      <c r="P722" s="48"/>
      <c r="Q722" s="48"/>
    </row>
    <row r="723">
      <c r="A723" s="367"/>
      <c r="B723" s="389"/>
      <c r="C723" s="370"/>
      <c r="D723" s="388"/>
      <c r="E723" s="383"/>
      <c r="F723" s="60"/>
      <c r="G723" s="48"/>
      <c r="H723" s="60"/>
      <c r="I723" s="60"/>
      <c r="J723" s="60"/>
      <c r="K723" s="60"/>
      <c r="L723" s="48"/>
      <c r="M723" s="60"/>
      <c r="N723" s="60"/>
      <c r="O723" s="48"/>
      <c r="P723" s="48"/>
      <c r="Q723" s="48"/>
    </row>
    <row r="724">
      <c r="A724" s="392"/>
      <c r="B724" s="389"/>
      <c r="C724" s="370"/>
      <c r="D724" s="388"/>
      <c r="E724" s="384"/>
      <c r="F724" s="60"/>
      <c r="G724" s="48"/>
      <c r="H724" s="60"/>
      <c r="I724" s="60"/>
      <c r="J724" s="60"/>
      <c r="K724" s="60"/>
      <c r="L724" s="48"/>
      <c r="M724" s="60"/>
      <c r="N724" s="60"/>
      <c r="O724" s="48"/>
      <c r="P724" s="48"/>
      <c r="Q724" s="48"/>
    </row>
    <row r="725">
      <c r="A725" s="392"/>
      <c r="B725" s="389"/>
      <c r="C725" s="370"/>
      <c r="D725" s="388"/>
      <c r="E725" s="383"/>
      <c r="F725" s="60"/>
      <c r="G725" s="48"/>
      <c r="H725" s="60"/>
      <c r="I725" s="60"/>
      <c r="J725" s="60"/>
      <c r="K725" s="60"/>
      <c r="L725" s="48"/>
      <c r="M725" s="60"/>
      <c r="N725" s="60"/>
      <c r="O725" s="48"/>
      <c r="P725" s="48"/>
      <c r="Q725" s="48"/>
    </row>
    <row r="726">
      <c r="A726" s="392"/>
      <c r="B726" s="389"/>
      <c r="C726" s="370"/>
      <c r="D726" s="388"/>
      <c r="E726" s="384"/>
      <c r="F726" s="60"/>
      <c r="G726" s="48"/>
      <c r="H726" s="60"/>
      <c r="I726" s="60"/>
      <c r="J726" s="60"/>
      <c r="K726" s="60"/>
      <c r="L726" s="48"/>
      <c r="M726" s="60"/>
      <c r="N726" s="60"/>
      <c r="O726" s="48"/>
      <c r="P726" s="48"/>
      <c r="Q726" s="48"/>
    </row>
    <row r="727">
      <c r="A727" s="367"/>
      <c r="B727" s="389"/>
      <c r="C727" s="370"/>
      <c r="D727" s="388"/>
      <c r="E727" s="370"/>
      <c r="F727" s="60"/>
      <c r="G727" s="48"/>
      <c r="H727" s="60"/>
      <c r="I727" s="60"/>
      <c r="J727" s="60"/>
      <c r="K727" s="60"/>
      <c r="L727" s="48"/>
      <c r="M727" s="60"/>
      <c r="N727" s="60"/>
      <c r="O727" s="48"/>
      <c r="P727" s="48"/>
      <c r="Q727" s="48"/>
    </row>
    <row r="728">
      <c r="A728" s="367"/>
      <c r="B728" s="389"/>
      <c r="C728" s="370"/>
      <c r="D728" s="388"/>
      <c r="E728" s="370"/>
      <c r="F728" s="60"/>
      <c r="G728" s="48"/>
      <c r="H728" s="60"/>
      <c r="I728" s="60"/>
      <c r="J728" s="60"/>
      <c r="K728" s="60"/>
      <c r="L728" s="48"/>
      <c r="M728" s="60"/>
      <c r="N728" s="60"/>
      <c r="O728" s="48"/>
      <c r="P728" s="48"/>
      <c r="Q728" s="48"/>
    </row>
    <row r="729">
      <c r="A729" s="392"/>
      <c r="B729" s="389"/>
      <c r="C729" s="370"/>
      <c r="D729" s="388"/>
      <c r="E729" s="384"/>
      <c r="F729" s="60"/>
      <c r="G729" s="48"/>
      <c r="H729" s="60"/>
      <c r="I729" s="60"/>
      <c r="J729" s="60"/>
      <c r="K729" s="60"/>
      <c r="L729" s="48"/>
      <c r="M729" s="60"/>
      <c r="N729" s="60"/>
      <c r="O729" s="48"/>
      <c r="P729" s="48"/>
      <c r="Q729" s="48"/>
    </row>
    <row r="730">
      <c r="A730" s="392"/>
      <c r="B730" s="389"/>
      <c r="C730" s="370"/>
      <c r="D730" s="388"/>
      <c r="E730" s="383"/>
      <c r="F730" s="60"/>
      <c r="G730" s="48"/>
      <c r="H730" s="60"/>
      <c r="I730" s="60"/>
      <c r="J730" s="60"/>
      <c r="K730" s="60"/>
      <c r="L730" s="48"/>
      <c r="M730" s="60"/>
      <c r="N730" s="60"/>
      <c r="O730" s="48"/>
      <c r="P730" s="48"/>
      <c r="Q730" s="48"/>
    </row>
    <row r="731">
      <c r="A731" s="392"/>
      <c r="B731" s="389"/>
      <c r="C731" s="370"/>
      <c r="D731" s="388"/>
      <c r="E731" s="370"/>
      <c r="F731" s="60"/>
      <c r="G731" s="48"/>
      <c r="H731" s="60"/>
      <c r="I731" s="60"/>
      <c r="J731" s="60"/>
      <c r="K731" s="60"/>
      <c r="L731" s="48"/>
      <c r="M731" s="60"/>
      <c r="N731" s="60"/>
      <c r="O731" s="48"/>
      <c r="P731" s="48"/>
      <c r="Q731" s="48"/>
    </row>
    <row r="732">
      <c r="A732" s="367"/>
      <c r="B732" s="389"/>
      <c r="C732" s="370"/>
      <c r="D732" s="388"/>
      <c r="E732" s="370"/>
      <c r="F732" s="60"/>
      <c r="G732" s="48"/>
      <c r="H732" s="60"/>
      <c r="I732" s="60"/>
      <c r="J732" s="60"/>
      <c r="K732" s="60"/>
      <c r="L732" s="48"/>
      <c r="M732" s="60"/>
      <c r="N732" s="60"/>
      <c r="O732" s="48"/>
      <c r="P732" s="48"/>
      <c r="Q732" s="48"/>
    </row>
    <row r="733">
      <c r="A733" s="367"/>
      <c r="B733" s="389"/>
      <c r="C733" s="370"/>
      <c r="D733" s="388"/>
      <c r="E733" s="370"/>
      <c r="F733" s="60"/>
      <c r="G733" s="48"/>
      <c r="H733" s="60"/>
      <c r="I733" s="60"/>
      <c r="J733" s="60"/>
      <c r="K733" s="60"/>
      <c r="L733" s="48"/>
      <c r="M733" s="60"/>
      <c r="N733" s="60"/>
      <c r="O733" s="48"/>
      <c r="P733" s="48"/>
      <c r="Q733" s="48"/>
    </row>
    <row r="734">
      <c r="A734" s="367"/>
      <c r="B734" s="389"/>
      <c r="C734" s="370"/>
      <c r="D734" s="393"/>
      <c r="E734" s="370"/>
      <c r="F734" s="60"/>
      <c r="G734" s="48"/>
      <c r="H734" s="60"/>
      <c r="I734" s="60"/>
      <c r="J734" s="60"/>
      <c r="K734" s="60"/>
      <c r="L734" s="48"/>
      <c r="M734" s="60"/>
      <c r="N734" s="60"/>
      <c r="O734" s="48"/>
      <c r="P734" s="48"/>
      <c r="Q734" s="48"/>
    </row>
    <row r="735">
      <c r="A735" s="367"/>
      <c r="B735" s="389"/>
      <c r="C735" s="370"/>
      <c r="D735" s="388"/>
      <c r="E735" s="384"/>
      <c r="F735" s="60"/>
      <c r="G735" s="48"/>
      <c r="H735" s="60"/>
      <c r="I735" s="60"/>
      <c r="J735" s="60"/>
      <c r="K735" s="60"/>
      <c r="L735" s="48"/>
      <c r="M735" s="60"/>
      <c r="N735" s="60"/>
      <c r="O735" s="48"/>
      <c r="P735" s="48"/>
      <c r="Q735" s="48"/>
    </row>
    <row r="736">
      <c r="A736" s="367"/>
      <c r="B736" s="389"/>
      <c r="C736" s="370"/>
      <c r="D736" s="388"/>
      <c r="E736" s="370"/>
      <c r="F736" s="60"/>
      <c r="G736" s="48"/>
      <c r="H736" s="60"/>
      <c r="I736" s="60"/>
      <c r="J736" s="60"/>
      <c r="K736" s="60"/>
      <c r="L736" s="48"/>
      <c r="M736" s="60"/>
      <c r="N736" s="60"/>
      <c r="O736" s="48"/>
      <c r="P736" s="48"/>
      <c r="Q736" s="48"/>
    </row>
    <row r="737">
      <c r="A737" s="367"/>
      <c r="B737" s="389"/>
      <c r="C737" s="370"/>
      <c r="D737" s="388"/>
      <c r="E737" s="384"/>
      <c r="F737" s="60"/>
      <c r="G737" s="48"/>
      <c r="H737" s="60"/>
      <c r="I737" s="60"/>
      <c r="J737" s="60"/>
      <c r="K737" s="60"/>
      <c r="L737" s="48"/>
      <c r="M737" s="60"/>
      <c r="N737" s="60"/>
      <c r="O737" s="48"/>
      <c r="P737" s="48"/>
      <c r="Q737" s="48"/>
    </row>
    <row r="738">
      <c r="A738" s="367"/>
      <c r="B738" s="389"/>
      <c r="C738" s="370"/>
      <c r="D738" s="388"/>
      <c r="E738" s="370"/>
      <c r="F738" s="60"/>
      <c r="G738" s="48"/>
      <c r="H738" s="60"/>
      <c r="I738" s="60"/>
      <c r="J738" s="60"/>
      <c r="K738" s="60"/>
      <c r="L738" s="48"/>
      <c r="M738" s="60"/>
      <c r="N738" s="60"/>
      <c r="O738" s="48"/>
      <c r="P738" s="48"/>
      <c r="Q738" s="48"/>
    </row>
    <row r="739">
      <c r="A739" s="367"/>
      <c r="B739" s="389"/>
      <c r="C739" s="370"/>
      <c r="D739" s="388"/>
      <c r="E739" s="370"/>
      <c r="F739" s="60"/>
      <c r="G739" s="48"/>
      <c r="H739" s="60"/>
      <c r="I739" s="60"/>
      <c r="J739" s="60"/>
      <c r="K739" s="60"/>
      <c r="L739" s="48"/>
      <c r="M739" s="60"/>
      <c r="N739" s="60"/>
      <c r="O739" s="48"/>
      <c r="P739" s="48"/>
      <c r="Q739" s="48"/>
    </row>
    <row r="740">
      <c r="A740" s="392"/>
      <c r="B740" s="389"/>
      <c r="C740" s="370"/>
      <c r="D740" s="388"/>
      <c r="E740" s="383"/>
      <c r="F740" s="60"/>
      <c r="G740" s="48"/>
      <c r="H740" s="60"/>
      <c r="I740" s="60"/>
      <c r="J740" s="60"/>
      <c r="K740" s="60"/>
      <c r="L740" s="48"/>
      <c r="M740" s="60"/>
      <c r="N740" s="60"/>
      <c r="O740" s="48"/>
      <c r="P740" s="48"/>
      <c r="Q740" s="48"/>
    </row>
    <row r="741">
      <c r="A741" s="392"/>
      <c r="B741" s="389"/>
      <c r="C741" s="370"/>
      <c r="D741" s="388"/>
      <c r="E741" s="370"/>
      <c r="F741" s="60"/>
      <c r="G741" s="48"/>
      <c r="H741" s="60"/>
      <c r="I741" s="60"/>
      <c r="J741" s="60"/>
      <c r="K741" s="60"/>
      <c r="L741" s="48"/>
      <c r="M741" s="60"/>
      <c r="N741" s="60"/>
      <c r="O741" s="48"/>
      <c r="P741" s="48"/>
      <c r="Q741" s="48"/>
    </row>
    <row r="742">
      <c r="A742" s="367"/>
      <c r="B742" s="389"/>
      <c r="C742" s="370"/>
      <c r="D742" s="388"/>
      <c r="E742" s="370"/>
      <c r="F742" s="60"/>
      <c r="G742" s="48"/>
      <c r="H742" s="60"/>
      <c r="I742" s="60"/>
      <c r="J742" s="60"/>
      <c r="K742" s="60"/>
      <c r="L742" s="48"/>
      <c r="M742" s="60"/>
      <c r="N742" s="60"/>
      <c r="O742" s="48"/>
      <c r="P742" s="48"/>
      <c r="Q742" s="48"/>
    </row>
    <row r="743">
      <c r="A743" s="392"/>
      <c r="B743" s="389"/>
      <c r="C743" s="370"/>
      <c r="D743" s="388"/>
      <c r="E743" s="384"/>
      <c r="F743" s="60"/>
      <c r="G743" s="48"/>
      <c r="H743" s="60"/>
      <c r="I743" s="60"/>
      <c r="J743" s="60"/>
      <c r="K743" s="60"/>
      <c r="L743" s="48"/>
      <c r="M743" s="60"/>
      <c r="N743" s="60"/>
      <c r="O743" s="48"/>
      <c r="P743" s="48"/>
      <c r="Q743" s="48"/>
    </row>
    <row r="744">
      <c r="A744" s="392"/>
      <c r="B744" s="389"/>
      <c r="C744" s="370"/>
      <c r="D744" s="388"/>
      <c r="E744" s="383"/>
      <c r="F744" s="60"/>
      <c r="G744" s="48"/>
      <c r="H744" s="60"/>
      <c r="I744" s="60"/>
      <c r="J744" s="60"/>
      <c r="K744" s="60"/>
      <c r="L744" s="48"/>
      <c r="M744" s="60"/>
      <c r="N744" s="60"/>
      <c r="O744" s="48"/>
      <c r="P744" s="48"/>
      <c r="Q744" s="48"/>
    </row>
    <row r="745">
      <c r="A745" s="392"/>
      <c r="B745" s="389"/>
      <c r="C745" s="370"/>
      <c r="D745" s="388"/>
      <c r="E745" s="370"/>
      <c r="F745" s="60"/>
      <c r="G745" s="48"/>
      <c r="H745" s="60"/>
      <c r="I745" s="60"/>
      <c r="J745" s="60"/>
      <c r="K745" s="60"/>
      <c r="L745" s="48"/>
      <c r="M745" s="60"/>
      <c r="N745" s="60"/>
      <c r="O745" s="48"/>
      <c r="P745" s="48"/>
      <c r="Q745" s="48"/>
    </row>
    <row r="746">
      <c r="A746" s="360"/>
      <c r="B746" s="360"/>
      <c r="C746" s="361"/>
      <c r="D746" s="360"/>
      <c r="E746" s="362"/>
      <c r="F746" s="60"/>
      <c r="G746" s="48"/>
      <c r="H746" s="60"/>
      <c r="I746" s="60"/>
      <c r="J746" s="60"/>
      <c r="K746" s="60"/>
      <c r="L746" s="48"/>
      <c r="M746" s="60"/>
      <c r="N746" s="60"/>
      <c r="O746" s="48"/>
      <c r="P746" s="48"/>
      <c r="Q746" s="48"/>
    </row>
    <row r="747">
      <c r="A747" s="367"/>
      <c r="B747" s="389"/>
      <c r="C747" s="370"/>
      <c r="D747" s="388"/>
      <c r="E747" s="370"/>
      <c r="F747" s="60"/>
      <c r="G747" s="48"/>
      <c r="H747" s="60"/>
      <c r="I747" s="60"/>
      <c r="J747" s="60"/>
      <c r="K747" s="60"/>
      <c r="L747" s="48"/>
      <c r="M747" s="60"/>
      <c r="N747" s="60"/>
      <c r="O747" s="48"/>
      <c r="P747" s="48"/>
      <c r="Q747" s="48"/>
    </row>
    <row r="748">
      <c r="A748" s="367"/>
      <c r="B748" s="389"/>
      <c r="C748" s="370"/>
      <c r="D748" s="393"/>
      <c r="E748" s="370"/>
      <c r="F748" s="60"/>
      <c r="G748" s="48"/>
      <c r="H748" s="60"/>
      <c r="I748" s="60"/>
      <c r="J748" s="60"/>
      <c r="K748" s="60"/>
      <c r="L748" s="48"/>
      <c r="M748" s="60"/>
      <c r="N748" s="60"/>
      <c r="O748" s="48"/>
      <c r="P748" s="48"/>
      <c r="Q748" s="48"/>
    </row>
    <row r="749">
      <c r="A749" s="367"/>
      <c r="B749" s="389"/>
      <c r="C749" s="370"/>
      <c r="D749" s="388"/>
      <c r="E749" s="370"/>
      <c r="F749" s="60"/>
      <c r="G749" s="48"/>
      <c r="H749" s="60"/>
      <c r="I749" s="60"/>
      <c r="J749" s="60"/>
      <c r="K749" s="60"/>
      <c r="L749" s="48"/>
      <c r="M749" s="60"/>
      <c r="N749" s="60"/>
      <c r="O749" s="48"/>
      <c r="P749" s="48"/>
      <c r="Q749" s="48"/>
    </row>
    <row r="750">
      <c r="A750" s="367"/>
      <c r="B750" s="389"/>
      <c r="C750" s="370"/>
      <c r="D750" s="388"/>
      <c r="E750" s="370"/>
      <c r="F750" s="60"/>
      <c r="G750" s="48"/>
      <c r="H750" s="60"/>
      <c r="I750" s="60"/>
      <c r="J750" s="60"/>
      <c r="K750" s="60"/>
      <c r="L750" s="48"/>
      <c r="M750" s="60"/>
      <c r="N750" s="60"/>
      <c r="O750" s="48"/>
      <c r="P750" s="48"/>
      <c r="Q750" s="48"/>
    </row>
    <row r="751">
      <c r="A751" s="367"/>
      <c r="B751" s="389"/>
      <c r="C751" s="370"/>
      <c r="D751" s="388"/>
      <c r="E751" s="370"/>
      <c r="F751" s="60"/>
      <c r="G751" s="48"/>
      <c r="H751" s="60"/>
      <c r="I751" s="60"/>
      <c r="J751" s="60"/>
      <c r="K751" s="60"/>
      <c r="L751" s="48"/>
      <c r="M751" s="60"/>
      <c r="N751" s="60"/>
      <c r="O751" s="48"/>
      <c r="P751" s="48"/>
      <c r="Q751" s="48"/>
    </row>
    <row r="752">
      <c r="A752" s="367"/>
      <c r="B752" s="389"/>
      <c r="C752" s="370"/>
      <c r="D752" s="388"/>
      <c r="E752" s="370"/>
      <c r="F752" s="60"/>
      <c r="G752" s="48"/>
      <c r="H752" s="60"/>
      <c r="I752" s="60"/>
      <c r="J752" s="60"/>
      <c r="K752" s="60"/>
      <c r="L752" s="48"/>
      <c r="M752" s="60"/>
      <c r="N752" s="60"/>
      <c r="O752" s="48"/>
      <c r="P752" s="48"/>
      <c r="Q752" s="48"/>
    </row>
    <row r="753">
      <c r="A753" s="392"/>
      <c r="B753" s="389"/>
      <c r="C753" s="370"/>
      <c r="D753" s="388"/>
      <c r="E753" s="370"/>
      <c r="F753" s="60"/>
      <c r="G753" s="48"/>
      <c r="H753" s="60"/>
      <c r="I753" s="60"/>
      <c r="J753" s="60"/>
      <c r="K753" s="60"/>
      <c r="L753" s="48"/>
      <c r="M753" s="60"/>
      <c r="N753" s="60"/>
      <c r="O753" s="48"/>
      <c r="P753" s="48"/>
      <c r="Q753" s="48"/>
    </row>
    <row r="754">
      <c r="A754" s="392"/>
      <c r="B754" s="389"/>
      <c r="C754" s="370"/>
      <c r="D754" s="388"/>
      <c r="E754" s="384"/>
      <c r="F754" s="60"/>
      <c r="G754" s="48"/>
      <c r="H754" s="60"/>
      <c r="I754" s="60"/>
      <c r="J754" s="60"/>
      <c r="K754" s="60"/>
      <c r="L754" s="48"/>
      <c r="M754" s="60"/>
      <c r="N754" s="60"/>
      <c r="O754" s="48"/>
      <c r="P754" s="48"/>
      <c r="Q754" s="48"/>
    </row>
    <row r="755">
      <c r="A755" s="367"/>
      <c r="B755" s="389"/>
      <c r="C755" s="370"/>
      <c r="D755" s="388"/>
      <c r="E755" s="383"/>
      <c r="F755" s="60"/>
      <c r="G755" s="48"/>
      <c r="H755" s="60"/>
      <c r="I755" s="60"/>
      <c r="J755" s="60"/>
      <c r="K755" s="60"/>
      <c r="L755" s="48"/>
      <c r="M755" s="60"/>
      <c r="N755" s="60"/>
      <c r="O755" s="48"/>
      <c r="P755" s="48"/>
      <c r="Q755" s="48"/>
    </row>
    <row r="756">
      <c r="A756" s="367"/>
      <c r="B756" s="389"/>
      <c r="C756" s="370"/>
      <c r="D756" s="388"/>
      <c r="E756" s="370"/>
      <c r="F756" s="60"/>
      <c r="G756" s="48"/>
      <c r="H756" s="60"/>
      <c r="I756" s="60"/>
      <c r="J756" s="60"/>
      <c r="K756" s="60"/>
      <c r="L756" s="48"/>
      <c r="M756" s="60"/>
      <c r="N756" s="60"/>
      <c r="O756" s="48"/>
      <c r="P756" s="48"/>
      <c r="Q756" s="48"/>
    </row>
    <row r="757">
      <c r="A757" s="392"/>
      <c r="B757" s="389"/>
      <c r="C757" s="370"/>
      <c r="D757" s="388"/>
      <c r="E757" s="384"/>
      <c r="F757" s="60"/>
      <c r="G757" s="48"/>
      <c r="H757" s="60"/>
      <c r="I757" s="60"/>
      <c r="J757" s="60"/>
      <c r="K757" s="60"/>
      <c r="L757" s="48"/>
      <c r="M757" s="60"/>
      <c r="N757" s="60"/>
      <c r="O757" s="48"/>
      <c r="P757" s="48"/>
      <c r="Q757" s="48"/>
    </row>
    <row r="758">
      <c r="A758" s="367"/>
      <c r="B758" s="389"/>
      <c r="C758" s="370"/>
      <c r="D758" s="388"/>
      <c r="E758" s="384"/>
      <c r="F758" s="60"/>
      <c r="G758" s="48"/>
      <c r="H758" s="60"/>
      <c r="I758" s="60"/>
      <c r="J758" s="60"/>
      <c r="K758" s="60"/>
      <c r="L758" s="48"/>
      <c r="M758" s="60"/>
      <c r="N758" s="60"/>
      <c r="O758" s="48"/>
      <c r="P758" s="48"/>
      <c r="Q758" s="48"/>
    </row>
    <row r="759">
      <c r="A759" s="392"/>
      <c r="B759" s="389"/>
      <c r="C759" s="370"/>
      <c r="D759" s="393"/>
      <c r="E759" s="384"/>
      <c r="F759" s="60"/>
      <c r="G759" s="48"/>
      <c r="H759" s="60"/>
      <c r="I759" s="60"/>
      <c r="J759" s="60"/>
      <c r="K759" s="60"/>
      <c r="L759" s="48"/>
      <c r="M759" s="60"/>
      <c r="N759" s="60"/>
      <c r="O759" s="48"/>
      <c r="P759" s="48"/>
      <c r="Q759" s="48"/>
    </row>
    <row r="760">
      <c r="A760" s="392"/>
      <c r="B760" s="389"/>
      <c r="C760" s="370"/>
      <c r="D760" s="388"/>
      <c r="E760" s="384"/>
      <c r="F760" s="60"/>
      <c r="G760" s="48"/>
      <c r="H760" s="60"/>
      <c r="I760" s="60"/>
      <c r="J760" s="60"/>
      <c r="K760" s="60"/>
      <c r="L760" s="48"/>
      <c r="M760" s="60"/>
      <c r="N760" s="60"/>
      <c r="O760" s="48"/>
      <c r="P760" s="48"/>
      <c r="Q760" s="48"/>
    </row>
    <row r="761">
      <c r="A761" s="367"/>
      <c r="B761" s="389"/>
      <c r="C761" s="370"/>
      <c r="D761" s="388"/>
      <c r="E761" s="370"/>
      <c r="F761" s="60"/>
      <c r="G761" s="48"/>
      <c r="H761" s="60"/>
      <c r="I761" s="60"/>
      <c r="J761" s="60"/>
      <c r="K761" s="60"/>
      <c r="L761" s="48"/>
      <c r="M761" s="60"/>
      <c r="N761" s="60"/>
      <c r="O761" s="48"/>
      <c r="P761" s="48"/>
      <c r="Q761" s="48"/>
    </row>
    <row r="762">
      <c r="A762" s="392"/>
      <c r="B762" s="389"/>
      <c r="C762" s="370"/>
      <c r="D762" s="388"/>
      <c r="E762" s="370"/>
      <c r="F762" s="60"/>
      <c r="G762" s="48"/>
      <c r="H762" s="60"/>
      <c r="I762" s="60"/>
      <c r="J762" s="60"/>
      <c r="K762" s="60"/>
      <c r="L762" s="48"/>
      <c r="M762" s="60"/>
      <c r="N762" s="60"/>
      <c r="O762" s="48"/>
      <c r="P762" s="48"/>
      <c r="Q762" s="48"/>
    </row>
    <row r="763">
      <c r="A763" s="392"/>
      <c r="B763" s="389"/>
      <c r="C763" s="370"/>
      <c r="D763" s="388"/>
      <c r="E763" s="384"/>
      <c r="F763" s="60"/>
      <c r="G763" s="48"/>
      <c r="H763" s="60"/>
      <c r="I763" s="60"/>
      <c r="J763" s="60"/>
      <c r="K763" s="60"/>
      <c r="L763" s="48"/>
      <c r="M763" s="60"/>
      <c r="N763" s="60"/>
      <c r="O763" s="48"/>
      <c r="P763" s="48"/>
      <c r="Q763" s="48"/>
    </row>
    <row r="764">
      <c r="A764" s="367"/>
      <c r="B764" s="389"/>
      <c r="C764" s="370"/>
      <c r="D764" s="388"/>
      <c r="E764" s="383"/>
      <c r="F764" s="60"/>
      <c r="G764" s="48"/>
      <c r="H764" s="60"/>
      <c r="I764" s="60"/>
      <c r="J764" s="60"/>
      <c r="K764" s="60"/>
      <c r="L764" s="48"/>
      <c r="M764" s="60"/>
      <c r="N764" s="60"/>
      <c r="O764" s="48"/>
      <c r="P764" s="48"/>
      <c r="Q764" s="48"/>
    </row>
    <row r="765">
      <c r="A765" s="392"/>
      <c r="B765" s="389"/>
      <c r="C765" s="370"/>
      <c r="D765" s="388"/>
      <c r="E765" s="384"/>
      <c r="F765" s="60"/>
      <c r="G765" s="48"/>
      <c r="H765" s="60"/>
      <c r="I765" s="60"/>
      <c r="J765" s="60"/>
      <c r="K765" s="60"/>
      <c r="L765" s="48"/>
      <c r="M765" s="60"/>
      <c r="N765" s="60"/>
      <c r="O765" s="48"/>
      <c r="P765" s="48"/>
      <c r="Q765" s="48"/>
    </row>
    <row r="766">
      <c r="A766" s="392"/>
      <c r="B766" s="389"/>
      <c r="C766" s="370"/>
      <c r="D766" s="388"/>
      <c r="E766" s="383"/>
      <c r="F766" s="60"/>
      <c r="G766" s="48"/>
      <c r="H766" s="60"/>
      <c r="I766" s="60"/>
      <c r="J766" s="60"/>
      <c r="K766" s="60"/>
      <c r="L766" s="48"/>
      <c r="M766" s="60"/>
      <c r="N766" s="60"/>
      <c r="O766" s="48"/>
      <c r="P766" s="48"/>
      <c r="Q766" s="48"/>
    </row>
    <row r="767">
      <c r="A767" s="392"/>
      <c r="B767" s="389"/>
      <c r="C767" s="370"/>
      <c r="D767" s="388"/>
      <c r="E767" s="384"/>
      <c r="F767" s="60"/>
      <c r="G767" s="48"/>
      <c r="H767" s="60"/>
      <c r="I767" s="60"/>
      <c r="J767" s="60"/>
      <c r="K767" s="60"/>
      <c r="L767" s="48"/>
      <c r="M767" s="60"/>
      <c r="N767" s="60"/>
      <c r="O767" s="48"/>
      <c r="P767" s="48"/>
      <c r="Q767" s="48"/>
    </row>
    <row r="768">
      <c r="A768" s="367"/>
      <c r="B768" s="389"/>
      <c r="C768" s="370"/>
      <c r="D768" s="388"/>
      <c r="E768" s="370"/>
      <c r="F768" s="60"/>
      <c r="G768" s="48"/>
      <c r="H768" s="60"/>
      <c r="I768" s="60"/>
      <c r="J768" s="60"/>
      <c r="K768" s="60"/>
      <c r="L768" s="48"/>
      <c r="M768" s="60"/>
      <c r="N768" s="60"/>
      <c r="O768" s="48"/>
      <c r="P768" s="48"/>
      <c r="Q768" s="48"/>
    </row>
    <row r="769">
      <c r="A769" s="367"/>
      <c r="B769" s="389"/>
      <c r="C769" s="370"/>
      <c r="D769" s="388"/>
      <c r="E769" s="370"/>
      <c r="F769" s="60"/>
      <c r="G769" s="48"/>
      <c r="H769" s="60"/>
      <c r="I769" s="60"/>
      <c r="J769" s="60"/>
      <c r="K769" s="60"/>
      <c r="L769" s="48"/>
      <c r="M769" s="60"/>
      <c r="N769" s="60"/>
      <c r="O769" s="48"/>
      <c r="P769" s="48"/>
      <c r="Q769" s="48"/>
    </row>
    <row r="770">
      <c r="A770" s="392"/>
      <c r="B770" s="389"/>
      <c r="C770" s="370"/>
      <c r="D770" s="388"/>
      <c r="E770" s="384"/>
      <c r="F770" s="60"/>
      <c r="G770" s="48"/>
      <c r="H770" s="60"/>
      <c r="I770" s="60"/>
      <c r="J770" s="60"/>
      <c r="K770" s="60"/>
      <c r="L770" s="48"/>
      <c r="M770" s="60"/>
      <c r="N770" s="60"/>
      <c r="O770" s="48"/>
      <c r="P770" s="48"/>
      <c r="Q770" s="48"/>
    </row>
    <row r="771">
      <c r="A771" s="392"/>
      <c r="B771" s="389"/>
      <c r="C771" s="370"/>
      <c r="D771" s="388"/>
      <c r="E771" s="383"/>
      <c r="F771" s="60"/>
      <c r="G771" s="48"/>
      <c r="H771" s="60"/>
      <c r="I771" s="60"/>
      <c r="J771" s="60"/>
      <c r="K771" s="60"/>
      <c r="L771" s="48"/>
      <c r="M771" s="60"/>
      <c r="N771" s="60"/>
      <c r="O771" s="48"/>
      <c r="P771" s="48"/>
      <c r="Q771" s="48"/>
    </row>
    <row r="772">
      <c r="A772" s="392"/>
      <c r="B772" s="389"/>
      <c r="C772" s="370"/>
      <c r="D772" s="388"/>
      <c r="E772" s="370"/>
      <c r="F772" s="60"/>
      <c r="G772" s="48"/>
      <c r="H772" s="60"/>
      <c r="I772" s="60"/>
      <c r="J772" s="60"/>
      <c r="K772" s="60"/>
      <c r="L772" s="48"/>
      <c r="M772" s="60"/>
      <c r="N772" s="60"/>
      <c r="O772" s="48"/>
      <c r="P772" s="48"/>
      <c r="Q772" s="48"/>
    </row>
    <row r="773">
      <c r="A773" s="367"/>
      <c r="B773" s="389"/>
      <c r="C773" s="370"/>
      <c r="D773" s="388"/>
      <c r="E773" s="370"/>
      <c r="F773" s="60"/>
      <c r="G773" s="48"/>
      <c r="H773" s="60"/>
      <c r="I773" s="60"/>
      <c r="J773" s="60"/>
      <c r="K773" s="60"/>
      <c r="L773" s="48"/>
      <c r="M773" s="60"/>
      <c r="N773" s="60"/>
      <c r="O773" s="48"/>
      <c r="P773" s="48"/>
      <c r="Q773" s="48"/>
    </row>
    <row r="774">
      <c r="A774" s="367"/>
      <c r="B774" s="389"/>
      <c r="C774" s="370"/>
      <c r="D774" s="388"/>
      <c r="E774" s="370"/>
      <c r="F774" s="60"/>
      <c r="G774" s="48"/>
      <c r="H774" s="60"/>
      <c r="I774" s="60"/>
      <c r="J774" s="60"/>
      <c r="K774" s="60"/>
      <c r="L774" s="48"/>
      <c r="M774" s="60"/>
      <c r="N774" s="60"/>
      <c r="O774" s="48"/>
      <c r="P774" s="48"/>
      <c r="Q774" s="48"/>
    </row>
    <row r="775">
      <c r="A775" s="367"/>
      <c r="B775" s="389"/>
      <c r="C775" s="370"/>
      <c r="D775" s="393"/>
      <c r="E775" s="370"/>
      <c r="F775" s="60"/>
      <c r="G775" s="48"/>
      <c r="H775" s="60"/>
      <c r="I775" s="60"/>
      <c r="J775" s="60"/>
      <c r="K775" s="60"/>
      <c r="L775" s="48"/>
      <c r="M775" s="60"/>
      <c r="N775" s="60"/>
      <c r="O775" s="48"/>
      <c r="P775" s="48"/>
      <c r="Q775" s="48"/>
    </row>
    <row r="776">
      <c r="A776" s="367"/>
      <c r="B776" s="389"/>
      <c r="C776" s="370"/>
      <c r="D776" s="388"/>
      <c r="E776" s="384"/>
      <c r="F776" s="60"/>
      <c r="G776" s="48"/>
      <c r="H776" s="60"/>
      <c r="I776" s="60"/>
      <c r="J776" s="60"/>
      <c r="K776" s="60"/>
      <c r="L776" s="48"/>
      <c r="M776" s="60"/>
      <c r="N776" s="60"/>
      <c r="O776" s="48"/>
      <c r="P776" s="48"/>
      <c r="Q776" s="48"/>
    </row>
    <row r="777">
      <c r="A777" s="367"/>
      <c r="B777" s="389"/>
      <c r="C777" s="370"/>
      <c r="D777" s="388"/>
      <c r="E777" s="370"/>
      <c r="F777" s="60"/>
      <c r="G777" s="48"/>
      <c r="H777" s="60"/>
      <c r="I777" s="60"/>
      <c r="J777" s="60"/>
      <c r="K777" s="60"/>
      <c r="L777" s="48"/>
      <c r="M777" s="60"/>
      <c r="N777" s="60"/>
      <c r="O777" s="48"/>
      <c r="P777" s="48"/>
      <c r="Q777" s="48"/>
    </row>
    <row r="778">
      <c r="A778" s="367"/>
      <c r="B778" s="389"/>
      <c r="C778" s="370"/>
      <c r="D778" s="388"/>
      <c r="E778" s="384"/>
      <c r="F778" s="60"/>
      <c r="G778" s="48"/>
      <c r="H778" s="60"/>
      <c r="I778" s="60"/>
      <c r="J778" s="60"/>
      <c r="K778" s="60"/>
      <c r="L778" s="48"/>
      <c r="M778" s="60"/>
      <c r="N778" s="60"/>
      <c r="O778" s="48"/>
      <c r="P778" s="48"/>
      <c r="Q778" s="48"/>
    </row>
    <row r="779">
      <c r="A779" s="367"/>
      <c r="B779" s="389"/>
      <c r="C779" s="370"/>
      <c r="D779" s="388"/>
      <c r="E779" s="370"/>
      <c r="F779" s="60"/>
      <c r="G779" s="48"/>
      <c r="H779" s="60"/>
      <c r="I779" s="60"/>
      <c r="J779" s="60"/>
      <c r="K779" s="60"/>
      <c r="L779" s="48"/>
      <c r="M779" s="60"/>
      <c r="N779" s="60"/>
      <c r="O779" s="48"/>
      <c r="P779" s="48"/>
      <c r="Q779" s="48"/>
    </row>
    <row r="780">
      <c r="A780" s="367"/>
      <c r="B780" s="389"/>
      <c r="C780" s="370"/>
      <c r="D780" s="388"/>
      <c r="E780" s="370"/>
      <c r="F780" s="60"/>
      <c r="G780" s="48"/>
      <c r="H780" s="60"/>
      <c r="I780" s="60"/>
      <c r="J780" s="60"/>
      <c r="K780" s="60"/>
      <c r="L780" s="48"/>
      <c r="M780" s="60"/>
      <c r="N780" s="60"/>
      <c r="O780" s="48"/>
      <c r="P780" s="48"/>
      <c r="Q780" s="48"/>
    </row>
    <row r="781">
      <c r="A781" s="392"/>
      <c r="B781" s="389"/>
      <c r="C781" s="370"/>
      <c r="D781" s="388"/>
      <c r="E781" s="383"/>
      <c r="F781" s="60"/>
      <c r="G781" s="48"/>
      <c r="H781" s="60"/>
      <c r="I781" s="60"/>
      <c r="J781" s="60"/>
      <c r="K781" s="60"/>
      <c r="L781" s="48"/>
      <c r="M781" s="60"/>
      <c r="N781" s="60"/>
      <c r="O781" s="48"/>
      <c r="P781" s="48"/>
      <c r="Q781" s="48"/>
    </row>
    <row r="782">
      <c r="A782" s="392"/>
      <c r="B782" s="389"/>
      <c r="C782" s="370"/>
      <c r="D782" s="388"/>
      <c r="E782" s="370"/>
      <c r="F782" s="60"/>
      <c r="G782" s="48"/>
      <c r="H782" s="60"/>
      <c r="I782" s="60"/>
      <c r="J782" s="60"/>
      <c r="K782" s="60"/>
      <c r="L782" s="48"/>
      <c r="M782" s="60"/>
      <c r="N782" s="60"/>
      <c r="O782" s="48"/>
      <c r="P782" s="48"/>
      <c r="Q782" s="48"/>
    </row>
    <row r="783">
      <c r="A783" s="367"/>
      <c r="B783" s="389"/>
      <c r="C783" s="370"/>
      <c r="D783" s="388"/>
      <c r="E783" s="370"/>
      <c r="F783" s="60"/>
      <c r="G783" s="48"/>
      <c r="H783" s="60"/>
      <c r="I783" s="60"/>
      <c r="J783" s="60"/>
      <c r="K783" s="60"/>
      <c r="L783" s="48"/>
      <c r="M783" s="60"/>
      <c r="N783" s="60"/>
      <c r="O783" s="48"/>
      <c r="P783" s="48"/>
      <c r="Q783" s="48"/>
    </row>
    <row r="784">
      <c r="A784" s="392"/>
      <c r="B784" s="389"/>
      <c r="C784" s="370"/>
      <c r="D784" s="388"/>
      <c r="E784" s="384"/>
      <c r="F784" s="60"/>
      <c r="G784" s="48"/>
      <c r="H784" s="60"/>
      <c r="I784" s="60"/>
      <c r="J784" s="60"/>
      <c r="K784" s="60"/>
      <c r="L784" s="48"/>
      <c r="M784" s="60"/>
      <c r="N784" s="60"/>
      <c r="O784" s="48"/>
      <c r="P784" s="48"/>
      <c r="Q784" s="48"/>
    </row>
    <row r="785">
      <c r="A785" s="392"/>
      <c r="B785" s="389"/>
      <c r="C785" s="370"/>
      <c r="D785" s="388"/>
      <c r="E785" s="383"/>
      <c r="F785" s="60"/>
      <c r="G785" s="48"/>
      <c r="H785" s="60"/>
      <c r="I785" s="60"/>
      <c r="J785" s="60"/>
      <c r="K785" s="60"/>
      <c r="L785" s="48"/>
      <c r="M785" s="60"/>
      <c r="N785" s="60"/>
      <c r="O785" s="48"/>
      <c r="P785" s="48"/>
      <c r="Q785" s="48"/>
    </row>
    <row r="786">
      <c r="A786" s="392"/>
      <c r="B786" s="389"/>
      <c r="C786" s="370"/>
      <c r="D786" s="388"/>
      <c r="E786" s="370"/>
      <c r="F786" s="60"/>
      <c r="G786" s="48"/>
      <c r="H786" s="60"/>
      <c r="I786" s="60"/>
      <c r="J786" s="60"/>
      <c r="K786" s="60"/>
      <c r="L786" s="48"/>
      <c r="M786" s="60"/>
      <c r="N786" s="60"/>
      <c r="O786" s="48"/>
      <c r="P786" s="48"/>
      <c r="Q786" s="48"/>
    </row>
    <row r="787">
      <c r="A787" s="360"/>
      <c r="B787" s="360"/>
      <c r="C787" s="361"/>
      <c r="D787" s="360"/>
      <c r="E787" s="362"/>
      <c r="F787" s="60"/>
      <c r="G787" s="48"/>
      <c r="H787" s="60"/>
      <c r="I787" s="60"/>
      <c r="J787" s="60"/>
      <c r="K787" s="60"/>
      <c r="L787" s="48"/>
      <c r="M787" s="60"/>
      <c r="N787" s="60"/>
      <c r="O787" s="48"/>
      <c r="P787" s="48"/>
      <c r="Q787" s="48"/>
    </row>
    <row r="788">
      <c r="A788" s="367"/>
      <c r="B788" s="389"/>
      <c r="C788" s="370"/>
      <c r="D788" s="388"/>
      <c r="E788" s="370"/>
      <c r="F788" s="60"/>
      <c r="G788" s="48"/>
      <c r="H788" s="60"/>
      <c r="I788" s="60"/>
      <c r="J788" s="60"/>
      <c r="K788" s="60"/>
      <c r="L788" s="48"/>
      <c r="M788" s="60"/>
      <c r="N788" s="60"/>
      <c r="O788" s="48"/>
      <c r="P788" s="48"/>
      <c r="Q788" s="48"/>
    </row>
    <row r="789">
      <c r="A789" s="367"/>
      <c r="B789" s="389"/>
      <c r="C789" s="370"/>
      <c r="D789" s="393"/>
      <c r="E789" s="370"/>
      <c r="F789" s="60"/>
      <c r="G789" s="48"/>
      <c r="H789" s="60"/>
      <c r="I789" s="60"/>
      <c r="J789" s="60"/>
      <c r="K789" s="60"/>
      <c r="L789" s="48"/>
      <c r="M789" s="60"/>
      <c r="N789" s="60"/>
      <c r="O789" s="48"/>
      <c r="P789" s="48"/>
      <c r="Q789" s="48"/>
    </row>
    <row r="790">
      <c r="A790" s="367"/>
      <c r="B790" s="389"/>
      <c r="C790" s="370"/>
      <c r="D790" s="388"/>
      <c r="E790" s="370"/>
      <c r="F790" s="60"/>
      <c r="G790" s="48"/>
      <c r="H790" s="60"/>
      <c r="I790" s="60"/>
      <c r="J790" s="60"/>
      <c r="K790" s="60"/>
      <c r="L790" s="48"/>
      <c r="M790" s="60"/>
      <c r="N790" s="60"/>
      <c r="O790" s="48"/>
      <c r="P790" s="48"/>
      <c r="Q790" s="48"/>
    </row>
    <row r="791">
      <c r="A791" s="367"/>
      <c r="B791" s="389"/>
      <c r="C791" s="370"/>
      <c r="D791" s="388"/>
      <c r="E791" s="370"/>
      <c r="F791" s="60"/>
      <c r="G791" s="48"/>
      <c r="H791" s="60"/>
      <c r="I791" s="60"/>
      <c r="J791" s="60"/>
      <c r="K791" s="60"/>
      <c r="L791" s="48"/>
      <c r="M791" s="60"/>
      <c r="N791" s="60"/>
      <c r="O791" s="48"/>
      <c r="P791" s="48"/>
      <c r="Q791" s="48"/>
    </row>
    <row r="792">
      <c r="A792" s="367"/>
      <c r="B792" s="389"/>
      <c r="C792" s="370"/>
      <c r="D792" s="388"/>
      <c r="E792" s="370"/>
      <c r="F792" s="60"/>
      <c r="G792" s="48"/>
      <c r="H792" s="60"/>
      <c r="I792" s="60"/>
      <c r="J792" s="60"/>
      <c r="K792" s="60"/>
      <c r="L792" s="48"/>
      <c r="M792" s="60"/>
      <c r="N792" s="60"/>
      <c r="O792" s="48"/>
      <c r="P792" s="48"/>
      <c r="Q792" s="48"/>
    </row>
    <row r="793">
      <c r="A793" s="367"/>
      <c r="B793" s="389"/>
      <c r="C793" s="370"/>
      <c r="D793" s="388"/>
      <c r="E793" s="370"/>
      <c r="F793" s="60"/>
      <c r="G793" s="48"/>
      <c r="H793" s="60"/>
      <c r="I793" s="60"/>
      <c r="J793" s="60"/>
      <c r="K793" s="60"/>
      <c r="L793" s="48"/>
      <c r="M793" s="60"/>
      <c r="N793" s="60"/>
      <c r="O793" s="48"/>
      <c r="P793" s="48"/>
      <c r="Q793" s="48"/>
    </row>
    <row r="794">
      <c r="A794" s="392"/>
      <c r="B794" s="389"/>
      <c r="C794" s="370"/>
      <c r="D794" s="388"/>
      <c r="E794" s="370"/>
      <c r="F794" s="60"/>
      <c r="G794" s="48"/>
      <c r="H794" s="60"/>
      <c r="I794" s="60"/>
      <c r="J794" s="60"/>
      <c r="K794" s="60"/>
      <c r="L794" s="48"/>
      <c r="M794" s="60"/>
      <c r="N794" s="60"/>
      <c r="O794" s="48"/>
      <c r="P794" s="48"/>
      <c r="Q794" s="48"/>
    </row>
    <row r="795">
      <c r="A795" s="392"/>
      <c r="B795" s="389"/>
      <c r="C795" s="370"/>
      <c r="D795" s="388"/>
      <c r="E795" s="384"/>
      <c r="F795" s="60"/>
      <c r="G795" s="48"/>
      <c r="H795" s="60"/>
      <c r="I795" s="60"/>
      <c r="J795" s="60"/>
      <c r="K795" s="60"/>
      <c r="L795" s="48"/>
      <c r="M795" s="60"/>
      <c r="N795" s="60"/>
      <c r="O795" s="48"/>
      <c r="P795" s="48"/>
      <c r="Q795" s="48"/>
    </row>
    <row r="796">
      <c r="A796" s="367"/>
      <c r="B796" s="389"/>
      <c r="C796" s="370"/>
      <c r="D796" s="388"/>
      <c r="E796" s="383"/>
      <c r="F796" s="60"/>
      <c r="G796" s="48"/>
      <c r="H796" s="60"/>
      <c r="I796" s="60"/>
      <c r="J796" s="60"/>
      <c r="K796" s="60"/>
      <c r="L796" s="48"/>
      <c r="M796" s="60"/>
      <c r="N796" s="60"/>
      <c r="O796" s="48"/>
      <c r="P796" s="48"/>
      <c r="Q796" s="48"/>
    </row>
    <row r="797">
      <c r="A797" s="367"/>
      <c r="B797" s="389"/>
      <c r="C797" s="370"/>
      <c r="D797" s="388"/>
      <c r="E797" s="370"/>
      <c r="F797" s="60"/>
      <c r="G797" s="48"/>
      <c r="H797" s="60"/>
      <c r="I797" s="60"/>
      <c r="J797" s="60"/>
      <c r="K797" s="60"/>
      <c r="L797" s="48"/>
      <c r="M797" s="60"/>
      <c r="N797" s="60"/>
      <c r="O797" s="48"/>
      <c r="P797" s="48"/>
      <c r="Q797" s="48"/>
    </row>
    <row r="798">
      <c r="A798" s="392"/>
      <c r="B798" s="389"/>
      <c r="C798" s="370"/>
      <c r="D798" s="388"/>
      <c r="E798" s="384"/>
      <c r="F798" s="60"/>
      <c r="G798" s="48"/>
      <c r="H798" s="60"/>
      <c r="I798" s="60"/>
      <c r="J798" s="60"/>
      <c r="K798" s="60"/>
      <c r="L798" s="48"/>
      <c r="M798" s="60"/>
      <c r="N798" s="60"/>
      <c r="O798" s="48"/>
      <c r="P798" s="48"/>
      <c r="Q798" s="48"/>
    </row>
    <row r="799">
      <c r="A799" s="367"/>
      <c r="B799" s="389"/>
      <c r="C799" s="370"/>
      <c r="D799" s="388"/>
      <c r="E799" s="384"/>
      <c r="F799" s="60"/>
      <c r="G799" s="48"/>
      <c r="H799" s="60"/>
      <c r="I799" s="60"/>
      <c r="J799" s="60"/>
      <c r="K799" s="60"/>
      <c r="L799" s="48"/>
      <c r="M799" s="60"/>
      <c r="N799" s="60"/>
      <c r="O799" s="48"/>
      <c r="P799" s="48"/>
      <c r="Q799" s="48"/>
    </row>
    <row r="800">
      <c r="A800" s="392"/>
      <c r="B800" s="389"/>
      <c r="C800" s="370"/>
      <c r="D800" s="393"/>
      <c r="E800" s="384"/>
      <c r="F800" s="60"/>
      <c r="G800" s="48"/>
      <c r="H800" s="60"/>
      <c r="I800" s="60"/>
      <c r="J800" s="60"/>
      <c r="K800" s="60"/>
      <c r="L800" s="48"/>
      <c r="M800" s="60"/>
      <c r="N800" s="60"/>
      <c r="O800" s="48"/>
      <c r="P800" s="48"/>
      <c r="Q800" s="48"/>
    </row>
    <row r="801">
      <c r="A801" s="392"/>
      <c r="B801" s="389"/>
      <c r="C801" s="370"/>
      <c r="D801" s="388"/>
      <c r="E801" s="384"/>
      <c r="F801" s="60"/>
      <c r="G801" s="48"/>
      <c r="H801" s="60"/>
      <c r="I801" s="60"/>
      <c r="J801" s="60"/>
      <c r="K801" s="60"/>
      <c r="L801" s="48"/>
      <c r="M801" s="60"/>
      <c r="N801" s="60"/>
      <c r="O801" s="48"/>
      <c r="P801" s="48"/>
      <c r="Q801" s="48"/>
    </row>
    <row r="802">
      <c r="A802" s="367"/>
      <c r="B802" s="389"/>
      <c r="C802" s="370"/>
      <c r="D802" s="388"/>
      <c r="E802" s="370"/>
      <c r="F802" s="60"/>
      <c r="G802" s="48"/>
      <c r="H802" s="60"/>
      <c r="I802" s="60"/>
      <c r="J802" s="60"/>
      <c r="K802" s="60"/>
      <c r="L802" s="48"/>
      <c r="M802" s="60"/>
      <c r="N802" s="60"/>
      <c r="O802" s="48"/>
      <c r="P802" s="48"/>
      <c r="Q802" s="48"/>
    </row>
    <row r="803">
      <c r="A803" s="392"/>
      <c r="B803" s="389"/>
      <c r="C803" s="370"/>
      <c r="D803" s="388"/>
      <c r="E803" s="370"/>
      <c r="F803" s="60"/>
      <c r="G803" s="48"/>
      <c r="H803" s="60"/>
      <c r="I803" s="60"/>
      <c r="J803" s="60"/>
      <c r="K803" s="60"/>
      <c r="L803" s="48"/>
      <c r="M803" s="60"/>
      <c r="N803" s="60"/>
      <c r="O803" s="48"/>
      <c r="P803" s="48"/>
      <c r="Q803" s="48"/>
    </row>
    <row r="804">
      <c r="A804" s="392"/>
      <c r="B804" s="389"/>
      <c r="C804" s="370"/>
      <c r="D804" s="388"/>
      <c r="E804" s="384"/>
      <c r="F804" s="60"/>
      <c r="G804" s="48"/>
      <c r="H804" s="60"/>
      <c r="I804" s="60"/>
      <c r="J804" s="60"/>
      <c r="K804" s="60"/>
      <c r="L804" s="48"/>
      <c r="M804" s="60"/>
      <c r="N804" s="60"/>
      <c r="O804" s="48"/>
      <c r="P804" s="48"/>
      <c r="Q804" s="48"/>
    </row>
    <row r="805">
      <c r="A805" s="367"/>
      <c r="B805" s="389"/>
      <c r="C805" s="370"/>
      <c r="D805" s="388"/>
      <c r="E805" s="383"/>
      <c r="F805" s="60"/>
      <c r="G805" s="48"/>
      <c r="H805" s="60"/>
      <c r="I805" s="60"/>
      <c r="J805" s="60"/>
      <c r="K805" s="60"/>
      <c r="L805" s="48"/>
      <c r="M805" s="60"/>
      <c r="N805" s="60"/>
      <c r="O805" s="48"/>
      <c r="P805" s="48"/>
      <c r="Q805" s="48"/>
    </row>
    <row r="806">
      <c r="A806" s="392"/>
      <c r="B806" s="389"/>
      <c r="C806" s="370"/>
      <c r="D806" s="388"/>
      <c r="E806" s="384"/>
      <c r="F806" s="60"/>
      <c r="G806" s="48"/>
      <c r="H806" s="60"/>
      <c r="I806" s="60"/>
      <c r="J806" s="60"/>
      <c r="K806" s="60"/>
      <c r="L806" s="48"/>
      <c r="M806" s="60"/>
      <c r="N806" s="60"/>
      <c r="O806" s="48"/>
      <c r="P806" s="48"/>
      <c r="Q806" s="48"/>
    </row>
    <row r="807">
      <c r="A807" s="392"/>
      <c r="B807" s="389"/>
      <c r="C807" s="370"/>
      <c r="D807" s="388"/>
      <c r="E807" s="383"/>
      <c r="F807" s="60"/>
      <c r="G807" s="48"/>
      <c r="H807" s="60"/>
      <c r="I807" s="60"/>
      <c r="J807" s="60"/>
      <c r="K807" s="60"/>
      <c r="L807" s="48"/>
      <c r="M807" s="60"/>
      <c r="N807" s="60"/>
      <c r="O807" s="48"/>
      <c r="P807" s="48"/>
      <c r="Q807" s="48"/>
    </row>
    <row r="808">
      <c r="A808" s="392"/>
      <c r="B808" s="389"/>
      <c r="C808" s="370"/>
      <c r="D808" s="388"/>
      <c r="E808" s="384"/>
      <c r="F808" s="60"/>
      <c r="G808" s="48"/>
      <c r="H808" s="60"/>
      <c r="I808" s="60"/>
      <c r="J808" s="60"/>
      <c r="K808" s="60"/>
      <c r="L808" s="48"/>
      <c r="M808" s="60"/>
      <c r="N808" s="60"/>
      <c r="O808" s="48"/>
      <c r="P808" s="48"/>
      <c r="Q808" s="48"/>
    </row>
    <row r="809">
      <c r="A809" s="367"/>
      <c r="B809" s="389"/>
      <c r="C809" s="370"/>
      <c r="D809" s="388"/>
      <c r="E809" s="370"/>
      <c r="F809" s="60"/>
      <c r="G809" s="48"/>
      <c r="H809" s="60"/>
      <c r="I809" s="60"/>
      <c r="J809" s="60"/>
      <c r="K809" s="60"/>
      <c r="L809" s="48"/>
      <c r="M809" s="60"/>
      <c r="N809" s="60"/>
      <c r="O809" s="48"/>
      <c r="P809" s="48"/>
      <c r="Q809" s="48"/>
    </row>
    <row r="810">
      <c r="A810" s="367"/>
      <c r="B810" s="389"/>
      <c r="C810" s="370"/>
      <c r="D810" s="388"/>
      <c r="E810" s="370"/>
      <c r="F810" s="60"/>
      <c r="G810" s="48"/>
      <c r="H810" s="60"/>
      <c r="I810" s="60"/>
      <c r="J810" s="60"/>
      <c r="K810" s="60"/>
      <c r="L810" s="48"/>
      <c r="M810" s="60"/>
      <c r="N810" s="60"/>
      <c r="O810" s="48"/>
      <c r="P810" s="48"/>
      <c r="Q810" s="48"/>
    </row>
    <row r="811">
      <c r="A811" s="392"/>
      <c r="B811" s="389"/>
      <c r="C811" s="370"/>
      <c r="D811" s="388"/>
      <c r="E811" s="384"/>
      <c r="F811" s="60"/>
      <c r="G811" s="48"/>
      <c r="H811" s="60"/>
      <c r="I811" s="60"/>
      <c r="J811" s="60"/>
      <c r="K811" s="60"/>
      <c r="L811" s="48"/>
      <c r="M811" s="60"/>
      <c r="N811" s="60"/>
      <c r="O811" s="48"/>
      <c r="P811" s="48"/>
      <c r="Q811" s="48"/>
    </row>
    <row r="812">
      <c r="A812" s="392"/>
      <c r="B812" s="389"/>
      <c r="C812" s="370"/>
      <c r="D812" s="388"/>
      <c r="E812" s="383"/>
      <c r="F812" s="60"/>
      <c r="G812" s="48"/>
      <c r="H812" s="60"/>
      <c r="I812" s="60"/>
      <c r="J812" s="60"/>
      <c r="K812" s="60"/>
      <c r="L812" s="48"/>
      <c r="M812" s="60"/>
      <c r="N812" s="60"/>
      <c r="O812" s="48"/>
      <c r="P812" s="48"/>
      <c r="Q812" s="48"/>
    </row>
    <row r="813">
      <c r="A813" s="392"/>
      <c r="B813" s="389"/>
      <c r="C813" s="370"/>
      <c r="D813" s="388"/>
      <c r="E813" s="370"/>
      <c r="F813" s="60"/>
      <c r="G813" s="48"/>
      <c r="H813" s="60"/>
      <c r="I813" s="60"/>
      <c r="J813" s="60"/>
      <c r="K813" s="60"/>
      <c r="L813" s="48"/>
      <c r="M813" s="60"/>
      <c r="N813" s="60"/>
      <c r="O813" s="48"/>
      <c r="P813" s="48"/>
      <c r="Q813" s="48"/>
    </row>
    <row r="814">
      <c r="A814" s="367"/>
      <c r="B814" s="389"/>
      <c r="C814" s="370"/>
      <c r="D814" s="388"/>
      <c r="E814" s="370"/>
      <c r="F814" s="60"/>
      <c r="G814" s="48"/>
      <c r="H814" s="60"/>
      <c r="I814" s="60"/>
      <c r="J814" s="60"/>
      <c r="K814" s="60"/>
      <c r="L814" s="48"/>
      <c r="M814" s="60"/>
      <c r="N814" s="60"/>
      <c r="O814" s="48"/>
      <c r="P814" s="48"/>
      <c r="Q814" s="48"/>
    </row>
    <row r="815">
      <c r="A815" s="367"/>
      <c r="B815" s="389"/>
      <c r="C815" s="370"/>
      <c r="D815" s="388"/>
      <c r="E815" s="370"/>
      <c r="F815" s="60"/>
      <c r="G815" s="48"/>
      <c r="H815" s="60"/>
      <c r="I815" s="60"/>
      <c r="J815" s="60"/>
      <c r="K815" s="60"/>
      <c r="L815" s="48"/>
      <c r="M815" s="60"/>
      <c r="N815" s="60"/>
      <c r="O815" s="48"/>
      <c r="P815" s="48"/>
      <c r="Q815" s="48"/>
    </row>
    <row r="816">
      <c r="A816" s="367"/>
      <c r="B816" s="389"/>
      <c r="C816" s="370"/>
      <c r="D816" s="393"/>
      <c r="E816" s="370"/>
      <c r="F816" s="60"/>
      <c r="G816" s="48"/>
      <c r="H816" s="60"/>
      <c r="I816" s="60"/>
      <c r="J816" s="60"/>
      <c r="K816" s="60"/>
      <c r="L816" s="48"/>
      <c r="M816" s="60"/>
      <c r="N816" s="60"/>
      <c r="O816" s="48"/>
      <c r="P816" s="48"/>
      <c r="Q816" s="48"/>
    </row>
    <row r="817">
      <c r="A817" s="367"/>
      <c r="B817" s="389"/>
      <c r="C817" s="370"/>
      <c r="D817" s="388"/>
      <c r="E817" s="384"/>
      <c r="F817" s="60"/>
      <c r="G817" s="48"/>
      <c r="H817" s="60"/>
      <c r="I817" s="60"/>
      <c r="J817" s="60"/>
      <c r="K817" s="60"/>
      <c r="L817" s="48"/>
      <c r="M817" s="60"/>
      <c r="N817" s="60"/>
      <c r="O817" s="48"/>
      <c r="P817" s="48"/>
      <c r="Q817" s="48"/>
    </row>
    <row r="818">
      <c r="A818" s="367"/>
      <c r="B818" s="389"/>
      <c r="C818" s="370"/>
      <c r="D818" s="388"/>
      <c r="E818" s="370"/>
      <c r="F818" s="60"/>
      <c r="G818" s="48"/>
      <c r="H818" s="60"/>
      <c r="I818" s="60"/>
      <c r="J818" s="60"/>
      <c r="K818" s="60"/>
      <c r="L818" s="48"/>
      <c r="M818" s="60"/>
      <c r="N818" s="60"/>
      <c r="O818" s="48"/>
      <c r="P818" s="48"/>
      <c r="Q818" s="48"/>
    </row>
    <row r="819">
      <c r="A819" s="367"/>
      <c r="B819" s="389"/>
      <c r="C819" s="370"/>
      <c r="D819" s="388"/>
      <c r="E819" s="384"/>
      <c r="F819" s="60"/>
      <c r="G819" s="48"/>
      <c r="H819" s="60"/>
      <c r="I819" s="60"/>
      <c r="J819" s="60"/>
      <c r="K819" s="60"/>
      <c r="L819" s="48"/>
      <c r="M819" s="60"/>
      <c r="N819" s="60"/>
      <c r="O819" s="48"/>
      <c r="P819" s="48"/>
      <c r="Q819" s="48"/>
    </row>
    <row r="820">
      <c r="A820" s="367"/>
      <c r="B820" s="389"/>
      <c r="C820" s="370"/>
      <c r="D820" s="388"/>
      <c r="E820" s="370"/>
      <c r="F820" s="60"/>
      <c r="G820" s="48"/>
      <c r="H820" s="60"/>
      <c r="I820" s="60"/>
      <c r="J820" s="60"/>
      <c r="K820" s="60"/>
      <c r="L820" s="48"/>
      <c r="M820" s="60"/>
      <c r="N820" s="60"/>
      <c r="O820" s="48"/>
      <c r="P820" s="48"/>
      <c r="Q820" s="48"/>
    </row>
    <row r="821">
      <c r="A821" s="367"/>
      <c r="B821" s="389"/>
      <c r="C821" s="370"/>
      <c r="D821" s="388"/>
      <c r="E821" s="370"/>
      <c r="F821" s="60"/>
      <c r="G821" s="48"/>
      <c r="H821" s="60"/>
      <c r="I821" s="60"/>
      <c r="J821" s="60"/>
      <c r="K821" s="60"/>
      <c r="L821" s="48"/>
      <c r="M821" s="60"/>
      <c r="N821" s="60"/>
      <c r="O821" s="48"/>
      <c r="P821" s="48"/>
      <c r="Q821" s="48"/>
    </row>
    <row r="822">
      <c r="A822" s="392"/>
      <c r="B822" s="389"/>
      <c r="C822" s="370"/>
      <c r="D822" s="388"/>
      <c r="E822" s="383"/>
      <c r="F822" s="60"/>
      <c r="G822" s="48"/>
      <c r="H822" s="60"/>
      <c r="I822" s="60"/>
      <c r="J822" s="60"/>
      <c r="K822" s="60"/>
      <c r="L822" s="48"/>
      <c r="M822" s="60"/>
      <c r="N822" s="60"/>
      <c r="O822" s="48"/>
      <c r="P822" s="48"/>
      <c r="Q822" s="48"/>
    </row>
    <row r="823">
      <c r="A823" s="392"/>
      <c r="B823" s="389"/>
      <c r="C823" s="370"/>
      <c r="D823" s="388"/>
      <c r="E823" s="370"/>
      <c r="F823" s="60"/>
      <c r="G823" s="48"/>
      <c r="H823" s="60"/>
      <c r="I823" s="60"/>
      <c r="J823" s="60"/>
      <c r="K823" s="60"/>
      <c r="L823" s="48"/>
      <c r="M823" s="60"/>
      <c r="N823" s="60"/>
      <c r="O823" s="48"/>
      <c r="P823" s="48"/>
      <c r="Q823" s="48"/>
    </row>
    <row r="824">
      <c r="A824" s="367"/>
      <c r="B824" s="389"/>
      <c r="C824" s="370"/>
      <c r="D824" s="388"/>
      <c r="E824" s="370"/>
      <c r="F824" s="60"/>
      <c r="G824" s="48"/>
      <c r="H824" s="60"/>
      <c r="I824" s="60"/>
      <c r="J824" s="60"/>
      <c r="K824" s="60"/>
      <c r="L824" s="48"/>
      <c r="M824" s="60"/>
      <c r="N824" s="60"/>
      <c r="O824" s="48"/>
      <c r="P824" s="48"/>
      <c r="Q824" s="48"/>
    </row>
    <row r="825">
      <c r="A825" s="392"/>
      <c r="B825" s="389"/>
      <c r="C825" s="370"/>
      <c r="D825" s="388"/>
      <c r="E825" s="384"/>
      <c r="F825" s="60"/>
      <c r="G825" s="48"/>
      <c r="H825" s="60"/>
      <c r="I825" s="60"/>
      <c r="J825" s="60"/>
      <c r="K825" s="60"/>
      <c r="L825" s="48"/>
      <c r="M825" s="60"/>
      <c r="N825" s="60"/>
      <c r="O825" s="48"/>
      <c r="P825" s="48"/>
      <c r="Q825" s="48"/>
    </row>
    <row r="826">
      <c r="A826" s="392"/>
      <c r="B826" s="389"/>
      <c r="C826" s="370"/>
      <c r="D826" s="388"/>
      <c r="E826" s="383"/>
      <c r="F826" s="60"/>
      <c r="G826" s="48"/>
      <c r="H826" s="60"/>
      <c r="I826" s="60"/>
      <c r="J826" s="60"/>
      <c r="K826" s="60"/>
      <c r="L826" s="48"/>
      <c r="M826" s="60"/>
      <c r="N826" s="60"/>
      <c r="O826" s="48"/>
      <c r="P826" s="48"/>
      <c r="Q826" s="48"/>
    </row>
    <row r="827">
      <c r="A827" s="392"/>
      <c r="B827" s="389"/>
      <c r="C827" s="370"/>
      <c r="D827" s="388"/>
      <c r="E827" s="370"/>
      <c r="F827" s="60"/>
      <c r="G827" s="48"/>
      <c r="H827" s="60"/>
      <c r="I827" s="60"/>
      <c r="J827" s="60"/>
      <c r="K827" s="60"/>
      <c r="L827" s="48"/>
      <c r="M827" s="60"/>
      <c r="N827" s="60"/>
      <c r="O827" s="48"/>
      <c r="P827" s="48"/>
      <c r="Q827" s="48"/>
    </row>
    <row r="828">
      <c r="A828" s="360"/>
      <c r="B828" s="360"/>
      <c r="C828" s="361"/>
      <c r="D828" s="360"/>
      <c r="E828" s="362"/>
      <c r="F828" s="60"/>
      <c r="G828" s="48"/>
      <c r="H828" s="60"/>
      <c r="I828" s="60"/>
      <c r="J828" s="60"/>
      <c r="K828" s="60"/>
      <c r="L828" s="48"/>
      <c r="M828" s="60"/>
      <c r="N828" s="60"/>
      <c r="O828" s="48"/>
      <c r="P828" s="48"/>
      <c r="Q828" s="48"/>
    </row>
    <row r="829">
      <c r="A829" s="367"/>
      <c r="B829" s="389"/>
      <c r="C829" s="370"/>
      <c r="D829" s="388"/>
      <c r="E829" s="370"/>
      <c r="F829" s="60"/>
      <c r="G829" s="48"/>
      <c r="H829" s="60"/>
      <c r="I829" s="60"/>
      <c r="J829" s="60"/>
      <c r="K829" s="60"/>
      <c r="L829" s="48"/>
      <c r="M829" s="60"/>
      <c r="N829" s="60"/>
      <c r="O829" s="48"/>
      <c r="P829" s="48"/>
      <c r="Q829" s="48"/>
    </row>
    <row r="830">
      <c r="A830" s="367"/>
      <c r="B830" s="389"/>
      <c r="C830" s="370"/>
      <c r="D830" s="393"/>
      <c r="E830" s="370"/>
      <c r="F830" s="60"/>
      <c r="G830" s="48"/>
      <c r="H830" s="60"/>
      <c r="I830" s="60"/>
      <c r="J830" s="60"/>
      <c r="K830" s="60"/>
      <c r="L830" s="48"/>
      <c r="M830" s="60"/>
      <c r="N830" s="60"/>
      <c r="O830" s="48"/>
      <c r="P830" s="48"/>
      <c r="Q830" s="48"/>
    </row>
    <row r="831">
      <c r="A831" s="367"/>
      <c r="B831" s="389"/>
      <c r="C831" s="370"/>
      <c r="D831" s="388"/>
      <c r="E831" s="370"/>
      <c r="F831" s="60"/>
      <c r="G831" s="48"/>
      <c r="H831" s="60"/>
      <c r="I831" s="60"/>
      <c r="J831" s="60"/>
      <c r="K831" s="60"/>
      <c r="L831" s="48"/>
      <c r="M831" s="60"/>
      <c r="N831" s="60"/>
      <c r="O831" s="48"/>
      <c r="P831" s="48"/>
      <c r="Q831" s="48"/>
    </row>
    <row r="832">
      <c r="A832" s="367"/>
      <c r="B832" s="389"/>
      <c r="C832" s="370"/>
      <c r="D832" s="388"/>
      <c r="E832" s="370"/>
      <c r="F832" s="60"/>
      <c r="G832" s="48"/>
      <c r="H832" s="60"/>
      <c r="I832" s="60"/>
      <c r="J832" s="60"/>
      <c r="K832" s="60"/>
      <c r="L832" s="48"/>
      <c r="M832" s="60"/>
      <c r="N832" s="60"/>
      <c r="O832" s="48"/>
      <c r="P832" s="48"/>
      <c r="Q832" s="48"/>
    </row>
    <row r="833">
      <c r="A833" s="367"/>
      <c r="B833" s="389"/>
      <c r="C833" s="370"/>
      <c r="D833" s="388"/>
      <c r="E833" s="370"/>
      <c r="F833" s="60"/>
      <c r="G833" s="48"/>
      <c r="H833" s="60"/>
      <c r="I833" s="60"/>
      <c r="J833" s="60"/>
      <c r="K833" s="60"/>
      <c r="L833" s="48"/>
      <c r="M833" s="60"/>
      <c r="N833" s="60"/>
      <c r="O833" s="48"/>
      <c r="P833" s="48"/>
      <c r="Q833" s="48"/>
    </row>
    <row r="834">
      <c r="A834" s="367"/>
      <c r="B834" s="389"/>
      <c r="C834" s="370"/>
      <c r="D834" s="388"/>
      <c r="E834" s="370"/>
      <c r="F834" s="60"/>
      <c r="G834" s="48"/>
      <c r="H834" s="60"/>
      <c r="I834" s="60"/>
      <c r="J834" s="60"/>
      <c r="K834" s="60"/>
      <c r="L834" s="48"/>
      <c r="M834" s="60"/>
      <c r="N834" s="60"/>
      <c r="O834" s="48"/>
      <c r="P834" s="48"/>
      <c r="Q834" s="48"/>
    </row>
    <row r="835">
      <c r="A835" s="392"/>
      <c r="B835" s="389"/>
      <c r="C835" s="370"/>
      <c r="D835" s="388"/>
      <c r="E835" s="370"/>
      <c r="F835" s="60"/>
      <c r="G835" s="48"/>
      <c r="H835" s="60"/>
      <c r="I835" s="60"/>
      <c r="J835" s="60"/>
      <c r="K835" s="60"/>
      <c r="L835" s="48"/>
      <c r="M835" s="60"/>
      <c r="N835" s="60"/>
      <c r="O835" s="48"/>
      <c r="P835" s="48"/>
      <c r="Q835" s="48"/>
    </row>
    <row r="836">
      <c r="A836" s="392"/>
      <c r="B836" s="389"/>
      <c r="C836" s="370"/>
      <c r="D836" s="388"/>
      <c r="E836" s="384"/>
      <c r="F836" s="60"/>
      <c r="G836" s="48"/>
      <c r="H836" s="60"/>
      <c r="I836" s="60"/>
      <c r="J836" s="60"/>
      <c r="K836" s="60"/>
      <c r="L836" s="48"/>
      <c r="M836" s="60"/>
      <c r="N836" s="60"/>
      <c r="O836" s="48"/>
      <c r="P836" s="48"/>
      <c r="Q836" s="48"/>
    </row>
    <row r="837">
      <c r="A837" s="367"/>
      <c r="B837" s="389"/>
      <c r="C837" s="370"/>
      <c r="D837" s="388"/>
      <c r="E837" s="383"/>
      <c r="F837" s="60"/>
      <c r="G837" s="48"/>
      <c r="H837" s="60"/>
      <c r="I837" s="60"/>
      <c r="J837" s="60"/>
      <c r="K837" s="60"/>
      <c r="L837" s="48"/>
      <c r="M837" s="60"/>
      <c r="N837" s="60"/>
      <c r="O837" s="48"/>
      <c r="P837" s="48"/>
      <c r="Q837" s="48"/>
    </row>
    <row r="838">
      <c r="A838" s="367"/>
      <c r="B838" s="389"/>
      <c r="C838" s="370"/>
      <c r="D838" s="388"/>
      <c r="E838" s="370"/>
      <c r="F838" s="60"/>
      <c r="G838" s="48"/>
      <c r="H838" s="60"/>
      <c r="I838" s="60"/>
      <c r="J838" s="60"/>
      <c r="K838" s="60"/>
      <c r="L838" s="48"/>
      <c r="M838" s="60"/>
      <c r="N838" s="60"/>
      <c r="O838" s="48"/>
      <c r="P838" s="48"/>
      <c r="Q838" s="48"/>
    </row>
    <row r="839">
      <c r="A839" s="392"/>
      <c r="B839" s="389"/>
      <c r="C839" s="370"/>
      <c r="D839" s="388"/>
      <c r="E839" s="384"/>
      <c r="F839" s="60"/>
      <c r="G839" s="48"/>
      <c r="H839" s="60"/>
      <c r="I839" s="60"/>
      <c r="J839" s="60"/>
      <c r="K839" s="60"/>
      <c r="L839" s="48"/>
      <c r="M839" s="60"/>
      <c r="N839" s="60"/>
      <c r="O839" s="48"/>
      <c r="P839" s="48"/>
      <c r="Q839" s="48"/>
    </row>
    <row r="840">
      <c r="A840" s="367"/>
      <c r="B840" s="389"/>
      <c r="C840" s="370"/>
      <c r="D840" s="388"/>
      <c r="E840" s="384"/>
      <c r="F840" s="60"/>
      <c r="G840" s="48"/>
      <c r="H840" s="60"/>
      <c r="I840" s="60"/>
      <c r="J840" s="60"/>
      <c r="K840" s="60"/>
      <c r="L840" s="48"/>
      <c r="M840" s="60"/>
      <c r="N840" s="60"/>
      <c r="O840" s="48"/>
      <c r="P840" s="48"/>
      <c r="Q840" s="48"/>
    </row>
    <row r="841">
      <c r="A841" s="392"/>
      <c r="B841" s="389"/>
      <c r="C841" s="370"/>
      <c r="D841" s="393"/>
      <c r="E841" s="384"/>
      <c r="F841" s="60"/>
      <c r="G841" s="48"/>
      <c r="H841" s="60"/>
      <c r="I841" s="60"/>
      <c r="J841" s="60"/>
      <c r="K841" s="60"/>
      <c r="L841" s="48"/>
      <c r="M841" s="60"/>
      <c r="N841" s="60"/>
      <c r="O841" s="48"/>
      <c r="P841" s="48"/>
      <c r="Q841" s="48"/>
    </row>
    <row r="842">
      <c r="A842" s="392"/>
      <c r="B842" s="389"/>
      <c r="C842" s="370"/>
      <c r="D842" s="388"/>
      <c r="E842" s="384"/>
      <c r="F842" s="60"/>
      <c r="G842" s="48"/>
      <c r="H842" s="60"/>
      <c r="I842" s="60"/>
      <c r="J842" s="60"/>
      <c r="K842" s="60"/>
      <c r="L842" s="48"/>
      <c r="M842" s="60"/>
      <c r="N842" s="60"/>
      <c r="O842" s="48"/>
      <c r="P842" s="48"/>
      <c r="Q842" s="48"/>
    </row>
    <row r="843">
      <c r="A843" s="367"/>
      <c r="B843" s="389"/>
      <c r="C843" s="370"/>
      <c r="D843" s="388"/>
      <c r="E843" s="370"/>
      <c r="F843" s="60"/>
      <c r="G843" s="48"/>
      <c r="H843" s="60"/>
      <c r="I843" s="60"/>
      <c r="J843" s="60"/>
      <c r="K843" s="60"/>
      <c r="L843" s="48"/>
      <c r="M843" s="60"/>
      <c r="N843" s="60"/>
      <c r="O843" s="48"/>
      <c r="P843" s="48"/>
      <c r="Q843" s="48"/>
    </row>
    <row r="844">
      <c r="A844" s="392"/>
      <c r="B844" s="389"/>
      <c r="C844" s="370"/>
      <c r="D844" s="388"/>
      <c r="E844" s="370"/>
      <c r="F844" s="60"/>
      <c r="G844" s="48"/>
      <c r="H844" s="60"/>
      <c r="I844" s="60"/>
      <c r="J844" s="60"/>
      <c r="K844" s="60"/>
      <c r="L844" s="48"/>
      <c r="M844" s="60"/>
      <c r="N844" s="60"/>
      <c r="O844" s="48"/>
      <c r="P844" s="48"/>
      <c r="Q844" s="48"/>
    </row>
    <row r="845">
      <c r="A845" s="392"/>
      <c r="B845" s="389"/>
      <c r="C845" s="370"/>
      <c r="D845" s="388"/>
      <c r="E845" s="384"/>
      <c r="F845" s="60"/>
      <c r="G845" s="48"/>
      <c r="H845" s="60"/>
      <c r="I845" s="60"/>
      <c r="J845" s="60"/>
      <c r="K845" s="60"/>
      <c r="L845" s="48"/>
      <c r="M845" s="60"/>
      <c r="N845" s="60"/>
      <c r="O845" s="48"/>
      <c r="P845" s="48"/>
      <c r="Q845" s="48"/>
    </row>
    <row r="846">
      <c r="A846" s="367"/>
      <c r="B846" s="389"/>
      <c r="C846" s="370"/>
      <c r="D846" s="388"/>
      <c r="E846" s="383"/>
      <c r="F846" s="60"/>
      <c r="G846" s="48"/>
      <c r="H846" s="60"/>
      <c r="I846" s="60"/>
      <c r="J846" s="60"/>
      <c r="K846" s="60"/>
      <c r="L846" s="48"/>
      <c r="M846" s="60"/>
      <c r="N846" s="60"/>
      <c r="O846" s="48"/>
      <c r="P846" s="48"/>
      <c r="Q846" s="48"/>
    </row>
    <row r="847">
      <c r="A847" s="392"/>
      <c r="B847" s="389"/>
      <c r="C847" s="370"/>
      <c r="D847" s="388"/>
      <c r="E847" s="384"/>
      <c r="F847" s="60"/>
      <c r="G847" s="48"/>
      <c r="H847" s="60"/>
      <c r="I847" s="60"/>
      <c r="J847" s="60"/>
      <c r="K847" s="60"/>
      <c r="L847" s="48"/>
      <c r="M847" s="60"/>
      <c r="N847" s="60"/>
      <c r="O847" s="48"/>
      <c r="P847" s="48"/>
      <c r="Q847" s="48"/>
    </row>
    <row r="848">
      <c r="A848" s="392"/>
      <c r="B848" s="389"/>
      <c r="C848" s="370"/>
      <c r="D848" s="388"/>
      <c r="E848" s="383"/>
      <c r="F848" s="60"/>
      <c r="G848" s="48"/>
      <c r="H848" s="60"/>
      <c r="I848" s="60"/>
      <c r="J848" s="60"/>
      <c r="K848" s="60"/>
      <c r="L848" s="48"/>
      <c r="M848" s="60"/>
      <c r="N848" s="60"/>
      <c r="O848" s="48"/>
      <c r="P848" s="48"/>
      <c r="Q848" s="48"/>
    </row>
    <row r="849">
      <c r="A849" s="392"/>
      <c r="B849" s="389"/>
      <c r="C849" s="370"/>
      <c r="D849" s="388"/>
      <c r="E849" s="384"/>
      <c r="F849" s="60"/>
      <c r="G849" s="48"/>
      <c r="H849" s="60"/>
      <c r="I849" s="60"/>
      <c r="J849" s="60"/>
      <c r="K849" s="60"/>
      <c r="L849" s="48"/>
      <c r="M849" s="60"/>
      <c r="N849" s="60"/>
      <c r="O849" s="48"/>
      <c r="P849" s="48"/>
      <c r="Q849" s="48"/>
    </row>
    <row r="850">
      <c r="A850" s="367"/>
      <c r="B850" s="389"/>
      <c r="C850" s="370"/>
      <c r="D850" s="388"/>
      <c r="E850" s="370"/>
      <c r="F850" s="60"/>
      <c r="G850" s="48"/>
      <c r="H850" s="60"/>
      <c r="I850" s="60"/>
      <c r="J850" s="60"/>
      <c r="K850" s="60"/>
      <c r="L850" s="48"/>
      <c r="M850" s="60"/>
      <c r="N850" s="60"/>
      <c r="O850" s="48"/>
      <c r="P850" s="48"/>
      <c r="Q850" s="48"/>
    </row>
    <row r="851">
      <c r="A851" s="367"/>
      <c r="B851" s="389"/>
      <c r="C851" s="370"/>
      <c r="D851" s="388"/>
      <c r="E851" s="370"/>
      <c r="F851" s="60"/>
      <c r="G851" s="48"/>
      <c r="H851" s="60"/>
      <c r="I851" s="60"/>
      <c r="J851" s="60"/>
      <c r="K851" s="60"/>
      <c r="L851" s="48"/>
      <c r="M851" s="60"/>
      <c r="N851" s="60"/>
      <c r="O851" s="48"/>
      <c r="P851" s="48"/>
      <c r="Q851" s="48"/>
    </row>
    <row r="852">
      <c r="A852" s="392"/>
      <c r="B852" s="389"/>
      <c r="C852" s="370"/>
      <c r="D852" s="388"/>
      <c r="E852" s="384"/>
      <c r="F852" s="60"/>
      <c r="G852" s="48"/>
      <c r="H852" s="60"/>
      <c r="I852" s="60"/>
      <c r="J852" s="60"/>
      <c r="K852" s="60"/>
      <c r="L852" s="48"/>
      <c r="M852" s="60"/>
      <c r="N852" s="60"/>
      <c r="O852" s="48"/>
      <c r="P852" s="48"/>
      <c r="Q852" s="48"/>
    </row>
    <row r="853">
      <c r="A853" s="392"/>
      <c r="B853" s="389"/>
      <c r="C853" s="370"/>
      <c r="D853" s="388"/>
      <c r="E853" s="383"/>
      <c r="F853" s="60"/>
      <c r="G853" s="48"/>
      <c r="H853" s="60"/>
      <c r="I853" s="60"/>
      <c r="J853" s="60"/>
      <c r="K853" s="60"/>
      <c r="L853" s="48"/>
      <c r="M853" s="60"/>
      <c r="N853" s="60"/>
      <c r="O853" s="48"/>
      <c r="P853" s="48"/>
      <c r="Q853" s="48"/>
    </row>
    <row r="854">
      <c r="A854" s="392"/>
      <c r="B854" s="389"/>
      <c r="C854" s="370"/>
      <c r="D854" s="388"/>
      <c r="E854" s="370"/>
      <c r="F854" s="60"/>
      <c r="G854" s="48"/>
      <c r="H854" s="60"/>
      <c r="I854" s="60"/>
      <c r="J854" s="60"/>
      <c r="K854" s="60"/>
      <c r="L854" s="48"/>
      <c r="M854" s="60"/>
      <c r="N854" s="60"/>
      <c r="O854" s="48"/>
      <c r="P854" s="48"/>
      <c r="Q854" s="48"/>
    </row>
    <row r="855">
      <c r="A855" s="367"/>
      <c r="B855" s="389"/>
      <c r="C855" s="370"/>
      <c r="D855" s="388"/>
      <c r="E855" s="370"/>
      <c r="F855" s="60"/>
      <c r="G855" s="48"/>
      <c r="H855" s="60"/>
      <c r="I855" s="60"/>
      <c r="J855" s="60"/>
      <c r="K855" s="60"/>
      <c r="L855" s="48"/>
      <c r="M855" s="60"/>
      <c r="N855" s="60"/>
      <c r="O855" s="48"/>
      <c r="P855" s="48"/>
      <c r="Q855" s="48"/>
    </row>
    <row r="856">
      <c r="A856" s="367"/>
      <c r="B856" s="389"/>
      <c r="C856" s="370"/>
      <c r="D856" s="388"/>
      <c r="E856" s="370"/>
      <c r="F856" s="60"/>
      <c r="G856" s="48"/>
      <c r="H856" s="60"/>
      <c r="I856" s="60"/>
      <c r="J856" s="60"/>
      <c r="K856" s="60"/>
      <c r="L856" s="48"/>
      <c r="M856" s="60"/>
      <c r="N856" s="60"/>
      <c r="O856" s="48"/>
      <c r="P856" s="48"/>
      <c r="Q856" s="48"/>
    </row>
    <row r="857">
      <c r="A857" s="367"/>
      <c r="B857" s="389"/>
      <c r="C857" s="370"/>
      <c r="D857" s="393"/>
      <c r="E857" s="370"/>
      <c r="F857" s="60"/>
      <c r="G857" s="48"/>
      <c r="H857" s="60"/>
      <c r="I857" s="60"/>
      <c r="J857" s="60"/>
      <c r="K857" s="60"/>
      <c r="L857" s="48"/>
      <c r="M857" s="60"/>
      <c r="N857" s="60"/>
      <c r="O857" s="48"/>
      <c r="P857" s="48"/>
      <c r="Q857" s="48"/>
    </row>
    <row r="858">
      <c r="A858" s="367"/>
      <c r="B858" s="389"/>
      <c r="C858" s="370"/>
      <c r="D858" s="388"/>
      <c r="E858" s="384"/>
      <c r="F858" s="60"/>
      <c r="G858" s="48"/>
      <c r="H858" s="60"/>
      <c r="I858" s="60"/>
      <c r="J858" s="60"/>
      <c r="K858" s="60"/>
      <c r="L858" s="48"/>
      <c r="M858" s="60"/>
      <c r="N858" s="60"/>
      <c r="O858" s="48"/>
      <c r="P858" s="48"/>
      <c r="Q858" s="48"/>
    </row>
    <row r="859">
      <c r="A859" s="367"/>
      <c r="B859" s="389"/>
      <c r="C859" s="370"/>
      <c r="D859" s="388"/>
      <c r="E859" s="370"/>
      <c r="F859" s="60"/>
      <c r="G859" s="48"/>
      <c r="H859" s="60"/>
      <c r="I859" s="60"/>
      <c r="J859" s="60"/>
      <c r="K859" s="60"/>
      <c r="L859" s="48"/>
      <c r="M859" s="60"/>
      <c r="N859" s="60"/>
      <c r="O859" s="48"/>
      <c r="P859" s="48"/>
      <c r="Q859" s="48"/>
    </row>
    <row r="860">
      <c r="A860" s="367"/>
      <c r="B860" s="389"/>
      <c r="C860" s="370"/>
      <c r="D860" s="388"/>
      <c r="E860" s="384"/>
      <c r="F860" s="60"/>
      <c r="G860" s="48"/>
      <c r="H860" s="60"/>
      <c r="I860" s="60"/>
      <c r="J860" s="60"/>
      <c r="K860" s="60"/>
      <c r="L860" s="48"/>
      <c r="M860" s="60"/>
      <c r="N860" s="60"/>
      <c r="O860" s="48"/>
      <c r="P860" s="48"/>
      <c r="Q860" s="48"/>
    </row>
    <row r="861">
      <c r="A861" s="367"/>
      <c r="B861" s="389"/>
      <c r="C861" s="370"/>
      <c r="D861" s="388"/>
      <c r="E861" s="370"/>
      <c r="F861" s="60"/>
      <c r="G861" s="48"/>
      <c r="H861" s="60"/>
      <c r="I861" s="60"/>
      <c r="J861" s="60"/>
      <c r="K861" s="60"/>
      <c r="L861" s="48"/>
      <c r="M861" s="60"/>
      <c r="N861" s="60"/>
      <c r="O861" s="48"/>
      <c r="P861" s="48"/>
      <c r="Q861" s="48"/>
    </row>
    <row r="862">
      <c r="A862" s="367"/>
      <c r="B862" s="389"/>
      <c r="C862" s="370"/>
      <c r="D862" s="388"/>
      <c r="E862" s="370"/>
      <c r="F862" s="60"/>
      <c r="G862" s="48"/>
      <c r="H862" s="60"/>
      <c r="I862" s="60"/>
      <c r="J862" s="60"/>
      <c r="K862" s="60"/>
      <c r="L862" s="48"/>
      <c r="M862" s="60"/>
      <c r="N862" s="60"/>
      <c r="O862" s="48"/>
      <c r="P862" s="48"/>
      <c r="Q862" s="48"/>
    </row>
    <row r="863">
      <c r="A863" s="392"/>
      <c r="B863" s="389"/>
      <c r="C863" s="370"/>
      <c r="D863" s="388"/>
      <c r="E863" s="383"/>
      <c r="F863" s="60"/>
      <c r="G863" s="48"/>
      <c r="H863" s="60"/>
      <c r="I863" s="60"/>
      <c r="J863" s="60"/>
      <c r="K863" s="60"/>
      <c r="L863" s="48"/>
      <c r="M863" s="60"/>
      <c r="N863" s="60"/>
      <c r="O863" s="48"/>
      <c r="P863" s="48"/>
      <c r="Q863" s="48"/>
    </row>
    <row r="864">
      <c r="A864" s="392"/>
      <c r="B864" s="389"/>
      <c r="C864" s="370"/>
      <c r="D864" s="388"/>
      <c r="E864" s="370"/>
      <c r="F864" s="60"/>
      <c r="G864" s="48"/>
      <c r="H864" s="60"/>
      <c r="I864" s="60"/>
      <c r="J864" s="60"/>
      <c r="K864" s="60"/>
      <c r="L864" s="48"/>
      <c r="M864" s="60"/>
      <c r="N864" s="60"/>
      <c r="O864" s="48"/>
      <c r="P864" s="48"/>
      <c r="Q864" s="48"/>
    </row>
    <row r="865">
      <c r="A865" s="367"/>
      <c r="B865" s="389"/>
      <c r="C865" s="370"/>
      <c r="D865" s="388"/>
      <c r="E865" s="370"/>
      <c r="F865" s="60"/>
      <c r="G865" s="48"/>
      <c r="H865" s="60"/>
      <c r="I865" s="60"/>
      <c r="J865" s="60"/>
      <c r="K865" s="60"/>
      <c r="L865" s="48"/>
      <c r="M865" s="60"/>
      <c r="N865" s="60"/>
      <c r="O865" s="48"/>
      <c r="P865" s="48"/>
      <c r="Q865" s="48"/>
    </row>
    <row r="866">
      <c r="A866" s="392"/>
      <c r="B866" s="389"/>
      <c r="C866" s="370"/>
      <c r="D866" s="388"/>
      <c r="E866" s="384"/>
      <c r="F866" s="60"/>
      <c r="G866" s="48"/>
      <c r="H866" s="60"/>
      <c r="I866" s="60"/>
      <c r="J866" s="60"/>
      <c r="K866" s="60"/>
      <c r="L866" s="48"/>
      <c r="M866" s="60"/>
      <c r="N866" s="60"/>
      <c r="O866" s="48"/>
      <c r="P866" s="48"/>
      <c r="Q866" s="48"/>
    </row>
    <row r="867">
      <c r="A867" s="392"/>
      <c r="B867" s="389"/>
      <c r="C867" s="370"/>
      <c r="D867" s="388"/>
      <c r="E867" s="383"/>
      <c r="F867" s="60"/>
      <c r="G867" s="48"/>
      <c r="H867" s="60"/>
      <c r="I867" s="60"/>
      <c r="J867" s="60"/>
      <c r="K867" s="60"/>
      <c r="L867" s="48"/>
      <c r="M867" s="60"/>
      <c r="N867" s="60"/>
      <c r="O867" s="48"/>
      <c r="P867" s="48"/>
      <c r="Q867" s="48"/>
    </row>
    <row r="868">
      <c r="A868" s="392"/>
      <c r="B868" s="389"/>
      <c r="C868" s="370"/>
      <c r="D868" s="388"/>
      <c r="E868" s="370"/>
      <c r="F868" s="60"/>
      <c r="G868" s="48"/>
      <c r="H868" s="60"/>
      <c r="I868" s="60"/>
      <c r="J868" s="60"/>
      <c r="K868" s="60"/>
      <c r="L868" s="48"/>
      <c r="M868" s="60"/>
      <c r="N868" s="60"/>
      <c r="O868" s="48"/>
      <c r="P868" s="48"/>
      <c r="Q868" s="48"/>
    </row>
    <row r="869">
      <c r="A869" s="360"/>
      <c r="B869" s="360"/>
      <c r="C869" s="361"/>
      <c r="D869" s="360"/>
      <c r="E869" s="362"/>
      <c r="F869" s="60"/>
      <c r="G869" s="48"/>
      <c r="H869" s="60"/>
      <c r="I869" s="60"/>
      <c r="J869" s="60"/>
      <c r="K869" s="60"/>
      <c r="L869" s="48"/>
      <c r="M869" s="60"/>
      <c r="N869" s="60"/>
      <c r="O869" s="48"/>
      <c r="P869" s="48"/>
      <c r="Q869" s="48"/>
    </row>
    <row r="870">
      <c r="A870" s="367"/>
      <c r="B870" s="389"/>
      <c r="C870" s="370"/>
      <c r="D870" s="388"/>
      <c r="E870" s="370"/>
      <c r="F870" s="60"/>
      <c r="G870" s="48"/>
      <c r="H870" s="60"/>
      <c r="I870" s="60"/>
      <c r="J870" s="60"/>
      <c r="K870" s="60"/>
      <c r="L870" s="48"/>
      <c r="M870" s="60"/>
      <c r="N870" s="60"/>
      <c r="O870" s="48"/>
      <c r="P870" s="48"/>
      <c r="Q870" s="48"/>
    </row>
    <row r="871">
      <c r="A871" s="367"/>
      <c r="B871" s="389"/>
      <c r="C871" s="370"/>
      <c r="D871" s="393"/>
      <c r="E871" s="370"/>
      <c r="F871" s="60"/>
      <c r="G871" s="48"/>
      <c r="H871" s="60"/>
      <c r="I871" s="60"/>
      <c r="J871" s="60"/>
      <c r="K871" s="60"/>
      <c r="L871" s="48"/>
      <c r="M871" s="60"/>
      <c r="N871" s="60"/>
      <c r="O871" s="48"/>
      <c r="P871" s="48"/>
      <c r="Q871" s="48"/>
    </row>
    <row r="872">
      <c r="A872" s="367"/>
      <c r="B872" s="389"/>
      <c r="C872" s="370"/>
      <c r="D872" s="388"/>
      <c r="E872" s="370"/>
      <c r="F872" s="60"/>
      <c r="G872" s="48"/>
      <c r="H872" s="60"/>
      <c r="I872" s="60"/>
      <c r="J872" s="60"/>
      <c r="K872" s="60"/>
      <c r="L872" s="48"/>
      <c r="M872" s="60"/>
      <c r="N872" s="60"/>
      <c r="O872" s="48"/>
      <c r="P872" s="48"/>
      <c r="Q872" s="48"/>
    </row>
    <row r="873">
      <c r="A873" s="367"/>
      <c r="B873" s="389"/>
      <c r="C873" s="370"/>
      <c r="D873" s="388"/>
      <c r="E873" s="370"/>
      <c r="F873" s="60"/>
      <c r="G873" s="48"/>
      <c r="H873" s="60"/>
      <c r="I873" s="60"/>
      <c r="J873" s="60"/>
      <c r="K873" s="60"/>
      <c r="L873" s="48"/>
      <c r="M873" s="60"/>
      <c r="N873" s="60"/>
      <c r="O873" s="48"/>
      <c r="P873" s="48"/>
      <c r="Q873" s="48"/>
    </row>
    <row r="874">
      <c r="A874" s="367"/>
      <c r="B874" s="389"/>
      <c r="C874" s="370"/>
      <c r="D874" s="388"/>
      <c r="E874" s="370"/>
      <c r="F874" s="60"/>
      <c r="G874" s="48"/>
      <c r="H874" s="60"/>
      <c r="I874" s="60"/>
      <c r="J874" s="60"/>
      <c r="K874" s="60"/>
      <c r="L874" s="48"/>
      <c r="M874" s="60"/>
      <c r="N874" s="60"/>
      <c r="O874" s="48"/>
      <c r="P874" s="48"/>
      <c r="Q874" s="48"/>
    </row>
    <row r="875">
      <c r="A875" s="367"/>
      <c r="B875" s="389"/>
      <c r="C875" s="370"/>
      <c r="D875" s="388"/>
      <c r="E875" s="370"/>
      <c r="F875" s="60"/>
      <c r="G875" s="48"/>
      <c r="H875" s="60"/>
      <c r="I875" s="60"/>
      <c r="J875" s="60"/>
      <c r="K875" s="60"/>
      <c r="L875" s="48"/>
      <c r="M875" s="60"/>
      <c r="N875" s="60"/>
      <c r="O875" s="48"/>
      <c r="P875" s="48"/>
      <c r="Q875" s="48"/>
    </row>
    <row r="876">
      <c r="A876" s="392"/>
      <c r="B876" s="389"/>
      <c r="C876" s="370"/>
      <c r="D876" s="388"/>
      <c r="E876" s="370"/>
      <c r="F876" s="60"/>
      <c r="G876" s="48"/>
      <c r="H876" s="60"/>
      <c r="I876" s="60"/>
      <c r="J876" s="60"/>
      <c r="K876" s="60"/>
      <c r="L876" s="48"/>
      <c r="M876" s="60"/>
      <c r="N876" s="60"/>
      <c r="O876" s="48"/>
      <c r="P876" s="48"/>
      <c r="Q876" s="48"/>
    </row>
    <row r="877">
      <c r="A877" s="392"/>
      <c r="B877" s="389"/>
      <c r="C877" s="370"/>
      <c r="D877" s="388"/>
      <c r="E877" s="384"/>
      <c r="F877" s="60"/>
      <c r="G877" s="48"/>
      <c r="H877" s="60"/>
      <c r="I877" s="60"/>
      <c r="J877" s="60"/>
      <c r="K877" s="60"/>
      <c r="L877" s="48"/>
      <c r="M877" s="60"/>
      <c r="N877" s="60"/>
      <c r="O877" s="48"/>
      <c r="P877" s="48"/>
      <c r="Q877" s="48"/>
    </row>
    <row r="878">
      <c r="A878" s="367"/>
      <c r="B878" s="389"/>
      <c r="C878" s="370"/>
      <c r="D878" s="388"/>
      <c r="E878" s="383"/>
      <c r="F878" s="60"/>
      <c r="G878" s="48"/>
      <c r="H878" s="60"/>
      <c r="I878" s="60"/>
      <c r="J878" s="60"/>
      <c r="K878" s="60"/>
      <c r="L878" s="48"/>
      <c r="M878" s="60"/>
      <c r="N878" s="60"/>
      <c r="O878" s="48"/>
      <c r="P878" s="48"/>
      <c r="Q878" s="48"/>
    </row>
    <row r="879">
      <c r="A879" s="367"/>
      <c r="B879" s="389"/>
      <c r="C879" s="370"/>
      <c r="D879" s="388"/>
      <c r="E879" s="370"/>
      <c r="F879" s="60"/>
      <c r="G879" s="48"/>
      <c r="H879" s="60"/>
      <c r="I879" s="60"/>
      <c r="J879" s="60"/>
      <c r="K879" s="60"/>
      <c r="L879" s="48"/>
      <c r="M879" s="60"/>
      <c r="N879" s="60"/>
      <c r="O879" s="48"/>
      <c r="P879" s="48"/>
      <c r="Q879" s="48"/>
    </row>
    <row r="880">
      <c r="A880" s="392"/>
      <c r="B880" s="389"/>
      <c r="C880" s="370"/>
      <c r="D880" s="388"/>
      <c r="E880" s="384"/>
      <c r="F880" s="60"/>
      <c r="G880" s="48"/>
      <c r="H880" s="60"/>
      <c r="I880" s="60"/>
      <c r="J880" s="60"/>
      <c r="K880" s="60"/>
      <c r="L880" s="48"/>
      <c r="M880" s="60"/>
      <c r="N880" s="60"/>
      <c r="O880" s="48"/>
      <c r="P880" s="48"/>
      <c r="Q880" s="48"/>
    </row>
    <row r="881">
      <c r="A881" s="367"/>
      <c r="B881" s="389"/>
      <c r="C881" s="370"/>
      <c r="D881" s="388"/>
      <c r="E881" s="384"/>
      <c r="F881" s="60"/>
      <c r="G881" s="48"/>
      <c r="H881" s="60"/>
      <c r="I881" s="60"/>
      <c r="J881" s="60"/>
      <c r="K881" s="60"/>
      <c r="L881" s="48"/>
      <c r="M881" s="60"/>
      <c r="N881" s="60"/>
      <c r="O881" s="48"/>
      <c r="P881" s="48"/>
      <c r="Q881" s="48"/>
    </row>
    <row r="882">
      <c r="A882" s="392"/>
      <c r="B882" s="389"/>
      <c r="C882" s="370"/>
      <c r="D882" s="393"/>
      <c r="E882" s="384"/>
      <c r="F882" s="60"/>
      <c r="G882" s="48"/>
      <c r="H882" s="60"/>
      <c r="I882" s="60"/>
      <c r="J882" s="60"/>
      <c r="K882" s="60"/>
      <c r="L882" s="48"/>
      <c r="M882" s="60"/>
      <c r="N882" s="60"/>
      <c r="O882" s="48"/>
      <c r="P882" s="48"/>
      <c r="Q882" s="48"/>
    </row>
    <row r="883">
      <c r="A883" s="392"/>
      <c r="B883" s="389"/>
      <c r="C883" s="370"/>
      <c r="D883" s="388"/>
      <c r="E883" s="384"/>
      <c r="F883" s="60"/>
      <c r="G883" s="48"/>
      <c r="H883" s="60"/>
      <c r="I883" s="60"/>
      <c r="J883" s="60"/>
      <c r="K883" s="60"/>
      <c r="L883" s="48"/>
      <c r="M883" s="60"/>
      <c r="N883" s="60"/>
      <c r="O883" s="48"/>
      <c r="P883" s="48"/>
      <c r="Q883" s="48"/>
    </row>
    <row r="884">
      <c r="A884" s="367"/>
      <c r="B884" s="389"/>
      <c r="C884" s="370"/>
      <c r="D884" s="388"/>
      <c r="E884" s="370"/>
      <c r="F884" s="60"/>
      <c r="G884" s="48"/>
      <c r="H884" s="60"/>
      <c r="I884" s="60"/>
      <c r="J884" s="60"/>
      <c r="K884" s="60"/>
      <c r="L884" s="48"/>
      <c r="M884" s="60"/>
      <c r="N884" s="60"/>
      <c r="O884" s="48"/>
      <c r="P884" s="48"/>
      <c r="Q884" s="48"/>
    </row>
    <row r="885">
      <c r="A885" s="392"/>
      <c r="B885" s="389"/>
      <c r="C885" s="370"/>
      <c r="D885" s="388"/>
      <c r="E885" s="370"/>
      <c r="F885" s="60"/>
      <c r="G885" s="48"/>
      <c r="H885" s="60"/>
      <c r="I885" s="60"/>
      <c r="J885" s="60"/>
      <c r="K885" s="60"/>
      <c r="L885" s="48"/>
      <c r="M885" s="60"/>
      <c r="N885" s="60"/>
      <c r="O885" s="48"/>
      <c r="P885" s="48"/>
      <c r="Q885" s="48"/>
    </row>
    <row r="886">
      <c r="A886" s="392"/>
      <c r="B886" s="389"/>
      <c r="C886" s="370"/>
      <c r="D886" s="388"/>
      <c r="E886" s="384"/>
      <c r="F886" s="60"/>
      <c r="G886" s="48"/>
      <c r="H886" s="60"/>
      <c r="I886" s="60"/>
      <c r="J886" s="60"/>
      <c r="K886" s="60"/>
      <c r="L886" s="48"/>
      <c r="M886" s="60"/>
      <c r="N886" s="60"/>
      <c r="O886" s="48"/>
      <c r="P886" s="48"/>
      <c r="Q886" s="48"/>
    </row>
    <row r="887">
      <c r="A887" s="367"/>
      <c r="B887" s="389"/>
      <c r="C887" s="370"/>
      <c r="D887" s="388"/>
      <c r="E887" s="383"/>
      <c r="F887" s="60"/>
      <c r="G887" s="48"/>
      <c r="H887" s="60"/>
      <c r="I887" s="60"/>
      <c r="J887" s="60"/>
      <c r="K887" s="60"/>
      <c r="L887" s="48"/>
      <c r="M887" s="60"/>
      <c r="N887" s="60"/>
      <c r="O887" s="48"/>
      <c r="P887" s="48"/>
      <c r="Q887" s="48"/>
    </row>
    <row r="888">
      <c r="A888" s="392"/>
      <c r="B888" s="389"/>
      <c r="C888" s="370"/>
      <c r="D888" s="388"/>
      <c r="E888" s="384"/>
      <c r="F888" s="60"/>
      <c r="G888" s="48"/>
      <c r="H888" s="60"/>
      <c r="I888" s="60"/>
      <c r="J888" s="60"/>
      <c r="K888" s="60"/>
      <c r="L888" s="48"/>
      <c r="M888" s="60"/>
      <c r="N888" s="60"/>
      <c r="O888" s="48"/>
      <c r="P888" s="48"/>
      <c r="Q888" s="48"/>
    </row>
    <row r="889">
      <c r="A889" s="392"/>
      <c r="B889" s="389"/>
      <c r="C889" s="370"/>
      <c r="D889" s="388"/>
      <c r="E889" s="383"/>
      <c r="F889" s="60"/>
      <c r="G889" s="48"/>
      <c r="H889" s="60"/>
      <c r="I889" s="60"/>
      <c r="J889" s="60"/>
      <c r="K889" s="60"/>
      <c r="L889" s="48"/>
      <c r="M889" s="60"/>
      <c r="N889" s="60"/>
      <c r="O889" s="48"/>
      <c r="P889" s="48"/>
      <c r="Q889" s="48"/>
    </row>
    <row r="890">
      <c r="A890" s="392"/>
      <c r="B890" s="389"/>
      <c r="C890" s="370"/>
      <c r="D890" s="388"/>
      <c r="E890" s="384"/>
      <c r="F890" s="60"/>
      <c r="G890" s="48"/>
      <c r="H890" s="60"/>
      <c r="I890" s="60"/>
      <c r="J890" s="60"/>
      <c r="K890" s="60"/>
      <c r="L890" s="48"/>
      <c r="M890" s="60"/>
      <c r="N890" s="60"/>
      <c r="O890" s="48"/>
      <c r="P890" s="48"/>
      <c r="Q890" s="48"/>
    </row>
    <row r="891">
      <c r="A891" s="367"/>
      <c r="B891" s="389"/>
      <c r="C891" s="370"/>
      <c r="D891" s="388"/>
      <c r="E891" s="370"/>
      <c r="F891" s="60"/>
      <c r="G891" s="48"/>
      <c r="H891" s="60"/>
      <c r="I891" s="60"/>
      <c r="J891" s="60"/>
      <c r="K891" s="60"/>
      <c r="L891" s="48"/>
      <c r="M891" s="60"/>
      <c r="N891" s="60"/>
      <c r="O891" s="48"/>
      <c r="P891" s="48"/>
      <c r="Q891" s="48"/>
    </row>
    <row r="892">
      <c r="A892" s="367"/>
      <c r="B892" s="389"/>
      <c r="C892" s="370"/>
      <c r="D892" s="388"/>
      <c r="E892" s="370"/>
      <c r="F892" s="60"/>
      <c r="G892" s="48"/>
      <c r="H892" s="60"/>
      <c r="I892" s="60"/>
      <c r="J892" s="60"/>
      <c r="K892" s="60"/>
      <c r="L892" s="48"/>
      <c r="M892" s="60"/>
      <c r="N892" s="60"/>
      <c r="O892" s="48"/>
      <c r="P892" s="48"/>
      <c r="Q892" s="48"/>
    </row>
    <row r="893">
      <c r="A893" s="392"/>
      <c r="B893" s="389"/>
      <c r="C893" s="370"/>
      <c r="D893" s="388"/>
      <c r="E893" s="384"/>
      <c r="F893" s="60"/>
      <c r="G893" s="48"/>
      <c r="H893" s="60"/>
      <c r="I893" s="60"/>
      <c r="J893" s="60"/>
      <c r="K893" s="60"/>
      <c r="L893" s="48"/>
      <c r="M893" s="60"/>
      <c r="N893" s="60"/>
      <c r="O893" s="48"/>
      <c r="P893" s="48"/>
      <c r="Q893" s="48"/>
    </row>
    <row r="894">
      <c r="A894" s="392"/>
      <c r="B894" s="389"/>
      <c r="C894" s="370"/>
      <c r="D894" s="388"/>
      <c r="E894" s="383"/>
      <c r="F894" s="60"/>
      <c r="G894" s="48"/>
      <c r="H894" s="60"/>
      <c r="I894" s="60"/>
      <c r="J894" s="60"/>
      <c r="K894" s="60"/>
      <c r="L894" s="48"/>
      <c r="M894" s="60"/>
      <c r="N894" s="60"/>
      <c r="O894" s="48"/>
      <c r="P894" s="48"/>
      <c r="Q894" s="48"/>
    </row>
    <row r="895">
      <c r="A895" s="392"/>
      <c r="B895" s="389"/>
      <c r="C895" s="370"/>
      <c r="D895" s="388"/>
      <c r="E895" s="370"/>
      <c r="F895" s="60"/>
      <c r="G895" s="48"/>
      <c r="H895" s="60"/>
      <c r="I895" s="60"/>
      <c r="J895" s="60"/>
      <c r="K895" s="60"/>
      <c r="L895" s="48"/>
      <c r="M895" s="60"/>
      <c r="N895" s="60"/>
      <c r="O895" s="48"/>
      <c r="P895" s="48"/>
      <c r="Q895" s="48"/>
    </row>
    <row r="896">
      <c r="A896" s="367"/>
      <c r="B896" s="389"/>
      <c r="C896" s="370"/>
      <c r="D896" s="388"/>
      <c r="E896" s="370"/>
      <c r="F896" s="60"/>
      <c r="G896" s="48"/>
      <c r="H896" s="60"/>
      <c r="I896" s="60"/>
      <c r="J896" s="60"/>
      <c r="K896" s="60"/>
      <c r="L896" s="48"/>
      <c r="M896" s="60"/>
      <c r="N896" s="60"/>
      <c r="O896" s="48"/>
      <c r="P896" s="48"/>
      <c r="Q896" s="48"/>
    </row>
    <row r="897">
      <c r="A897" s="367"/>
      <c r="B897" s="389"/>
      <c r="C897" s="370"/>
      <c r="D897" s="388"/>
      <c r="E897" s="370"/>
      <c r="F897" s="60"/>
      <c r="G897" s="48"/>
      <c r="H897" s="60"/>
      <c r="I897" s="60"/>
      <c r="J897" s="60"/>
      <c r="K897" s="60"/>
      <c r="L897" s="48"/>
      <c r="M897" s="60"/>
      <c r="N897" s="60"/>
      <c r="O897" s="48"/>
      <c r="P897" s="48"/>
      <c r="Q897" s="48"/>
    </row>
    <row r="898">
      <c r="A898" s="367"/>
      <c r="B898" s="389"/>
      <c r="C898" s="370"/>
      <c r="D898" s="393"/>
      <c r="E898" s="370"/>
      <c r="F898" s="60"/>
      <c r="G898" s="48"/>
      <c r="H898" s="60"/>
      <c r="I898" s="60"/>
      <c r="J898" s="60"/>
      <c r="K898" s="60"/>
      <c r="L898" s="48"/>
      <c r="M898" s="60"/>
      <c r="N898" s="60"/>
      <c r="O898" s="48"/>
      <c r="P898" s="48"/>
      <c r="Q898" s="48"/>
    </row>
    <row r="899">
      <c r="A899" s="367"/>
      <c r="B899" s="389"/>
      <c r="C899" s="370"/>
      <c r="D899" s="388"/>
      <c r="E899" s="384"/>
      <c r="F899" s="60"/>
      <c r="G899" s="48"/>
      <c r="H899" s="60"/>
      <c r="I899" s="60"/>
      <c r="J899" s="60"/>
      <c r="K899" s="60"/>
      <c r="L899" s="48"/>
      <c r="M899" s="60"/>
      <c r="N899" s="60"/>
      <c r="O899" s="48"/>
      <c r="P899" s="48"/>
      <c r="Q899" s="48"/>
    </row>
    <row r="900">
      <c r="A900" s="367"/>
      <c r="B900" s="389"/>
      <c r="C900" s="370"/>
      <c r="D900" s="388"/>
      <c r="E900" s="370"/>
      <c r="F900" s="60"/>
      <c r="G900" s="48"/>
      <c r="H900" s="60"/>
      <c r="I900" s="60"/>
      <c r="J900" s="60"/>
      <c r="K900" s="60"/>
      <c r="L900" s="48"/>
      <c r="M900" s="60"/>
      <c r="N900" s="60"/>
      <c r="O900" s="48"/>
      <c r="P900" s="48"/>
      <c r="Q900" s="48"/>
    </row>
    <row r="901">
      <c r="A901" s="367"/>
      <c r="B901" s="389"/>
      <c r="C901" s="370"/>
      <c r="D901" s="388"/>
      <c r="E901" s="384"/>
      <c r="F901" s="60"/>
      <c r="G901" s="48"/>
      <c r="H901" s="60"/>
      <c r="I901" s="60"/>
      <c r="J901" s="60"/>
      <c r="K901" s="60"/>
      <c r="L901" s="48"/>
      <c r="M901" s="60"/>
      <c r="N901" s="60"/>
      <c r="O901" s="48"/>
      <c r="P901" s="48"/>
      <c r="Q901" s="48"/>
    </row>
    <row r="902">
      <c r="A902" s="367"/>
      <c r="B902" s="389"/>
      <c r="C902" s="370"/>
      <c r="D902" s="388"/>
      <c r="E902" s="370"/>
      <c r="F902" s="60"/>
      <c r="G902" s="48"/>
      <c r="H902" s="60"/>
      <c r="I902" s="60"/>
      <c r="J902" s="60"/>
      <c r="K902" s="60"/>
      <c r="L902" s="48"/>
      <c r="M902" s="60"/>
      <c r="N902" s="60"/>
      <c r="O902" s="48"/>
      <c r="P902" s="48"/>
      <c r="Q902" s="48"/>
    </row>
    <row r="903">
      <c r="A903" s="367"/>
      <c r="B903" s="389"/>
      <c r="C903" s="370"/>
      <c r="D903" s="388"/>
      <c r="E903" s="370"/>
      <c r="F903" s="60"/>
      <c r="G903" s="48"/>
      <c r="H903" s="60"/>
      <c r="I903" s="60"/>
      <c r="J903" s="60"/>
      <c r="K903" s="60"/>
      <c r="L903" s="48"/>
      <c r="M903" s="60"/>
      <c r="N903" s="60"/>
      <c r="O903" s="48"/>
      <c r="P903" s="48"/>
      <c r="Q903" s="48"/>
    </row>
    <row r="904">
      <c r="A904" s="392"/>
      <c r="B904" s="389"/>
      <c r="C904" s="370"/>
      <c r="D904" s="388"/>
      <c r="E904" s="383"/>
      <c r="F904" s="60"/>
      <c r="G904" s="48"/>
      <c r="H904" s="60"/>
      <c r="I904" s="60"/>
      <c r="J904" s="60"/>
      <c r="K904" s="60"/>
      <c r="L904" s="48"/>
      <c r="M904" s="60"/>
      <c r="N904" s="60"/>
      <c r="O904" s="48"/>
      <c r="P904" s="48"/>
      <c r="Q904" s="48"/>
    </row>
    <row r="905">
      <c r="A905" s="392"/>
      <c r="B905" s="389"/>
      <c r="C905" s="370"/>
      <c r="D905" s="388"/>
      <c r="E905" s="370"/>
      <c r="F905" s="60"/>
      <c r="G905" s="48"/>
      <c r="H905" s="60"/>
      <c r="I905" s="60"/>
      <c r="J905" s="60"/>
      <c r="K905" s="60"/>
      <c r="L905" s="48"/>
      <c r="M905" s="60"/>
      <c r="N905" s="60"/>
      <c r="O905" s="48"/>
      <c r="P905" s="48"/>
      <c r="Q905" s="48"/>
    </row>
    <row r="906">
      <c r="A906" s="367"/>
      <c r="B906" s="389"/>
      <c r="C906" s="370"/>
      <c r="D906" s="388"/>
      <c r="E906" s="370"/>
      <c r="F906" s="60"/>
      <c r="G906" s="48"/>
      <c r="H906" s="60"/>
      <c r="I906" s="60"/>
      <c r="J906" s="60"/>
      <c r="K906" s="60"/>
      <c r="L906" s="48"/>
      <c r="M906" s="60"/>
      <c r="N906" s="60"/>
      <c r="O906" s="48"/>
      <c r="P906" s="48"/>
      <c r="Q906" s="48"/>
    </row>
    <row r="907">
      <c r="A907" s="392"/>
      <c r="B907" s="389"/>
      <c r="C907" s="370"/>
      <c r="D907" s="388"/>
      <c r="E907" s="384"/>
      <c r="F907" s="60"/>
      <c r="G907" s="48"/>
      <c r="H907" s="60"/>
      <c r="I907" s="60"/>
      <c r="J907" s="60"/>
      <c r="K907" s="60"/>
      <c r="L907" s="48"/>
      <c r="M907" s="60"/>
      <c r="N907" s="60"/>
      <c r="O907" s="48"/>
      <c r="P907" s="48"/>
      <c r="Q907" s="48"/>
    </row>
    <row r="908">
      <c r="A908" s="392"/>
      <c r="B908" s="389"/>
      <c r="C908" s="370"/>
      <c r="D908" s="388"/>
      <c r="E908" s="383"/>
      <c r="F908" s="60"/>
      <c r="G908" s="48"/>
      <c r="H908" s="60"/>
      <c r="I908" s="60"/>
      <c r="J908" s="60"/>
      <c r="K908" s="60"/>
      <c r="L908" s="48"/>
      <c r="M908" s="60"/>
      <c r="N908" s="60"/>
      <c r="O908" s="48"/>
      <c r="P908" s="48"/>
      <c r="Q908" s="48"/>
    </row>
    <row r="909">
      <c r="A909" s="392"/>
      <c r="B909" s="389"/>
      <c r="C909" s="370"/>
      <c r="D909" s="388"/>
      <c r="E909" s="370"/>
      <c r="F909" s="60"/>
      <c r="G909" s="48"/>
      <c r="H909" s="60"/>
      <c r="I909" s="60"/>
      <c r="J909" s="60"/>
      <c r="K909" s="60"/>
      <c r="L909" s="48"/>
      <c r="M909" s="60"/>
      <c r="N909" s="60"/>
      <c r="O909" s="48"/>
      <c r="P909" s="48"/>
      <c r="Q909" s="48"/>
    </row>
    <row r="910">
      <c r="F910" s="60"/>
      <c r="G910" s="48"/>
      <c r="H910" s="60"/>
      <c r="I910" s="60"/>
      <c r="J910" s="60"/>
      <c r="K910" s="60"/>
      <c r="L910" s="48"/>
      <c r="M910" s="60"/>
      <c r="N910" s="60"/>
      <c r="O910" s="48"/>
      <c r="P910" s="48"/>
      <c r="Q910" s="48"/>
    </row>
    <row r="911">
      <c r="F911" s="60"/>
      <c r="G911" s="48"/>
      <c r="H911" s="60"/>
      <c r="I911" s="60"/>
      <c r="J911" s="60"/>
      <c r="K911" s="60"/>
      <c r="L911" s="48"/>
      <c r="M911" s="60"/>
      <c r="N911" s="60"/>
      <c r="O911" s="48"/>
      <c r="P911" s="48"/>
      <c r="Q911" s="48"/>
    </row>
    <row r="912">
      <c r="F912" s="60"/>
      <c r="G912" s="48"/>
      <c r="H912" s="60"/>
      <c r="I912" s="60"/>
      <c r="J912" s="60"/>
      <c r="K912" s="60"/>
      <c r="L912" s="48"/>
      <c r="M912" s="60"/>
      <c r="N912" s="60"/>
      <c r="O912" s="48"/>
      <c r="P912" s="48"/>
      <c r="Q912" s="48"/>
    </row>
    <row r="913">
      <c r="F913" s="60"/>
      <c r="G913" s="48"/>
      <c r="H913" s="60"/>
      <c r="I913" s="60"/>
      <c r="J913" s="60"/>
      <c r="K913" s="60"/>
      <c r="L913" s="48"/>
      <c r="M913" s="60"/>
      <c r="N913" s="60"/>
      <c r="O913" s="48"/>
      <c r="P913" s="48"/>
      <c r="Q913" s="48"/>
    </row>
    <row r="914">
      <c r="F914" s="60"/>
      <c r="G914" s="48"/>
      <c r="H914" s="60"/>
      <c r="I914" s="60"/>
      <c r="J914" s="60"/>
      <c r="K914" s="60"/>
      <c r="L914" s="48"/>
      <c r="M914" s="60"/>
      <c r="N914" s="60"/>
      <c r="O914" s="48"/>
      <c r="P914" s="48"/>
      <c r="Q914" s="48"/>
    </row>
    <row r="915">
      <c r="F915" s="60"/>
      <c r="G915" s="48"/>
      <c r="H915" s="60"/>
      <c r="I915" s="60"/>
      <c r="J915" s="60"/>
      <c r="K915" s="60"/>
      <c r="L915" s="48"/>
      <c r="M915" s="60"/>
      <c r="N915" s="60"/>
      <c r="O915" s="48"/>
      <c r="P915" s="48"/>
      <c r="Q915" s="48"/>
    </row>
    <row r="916">
      <c r="F916" s="60"/>
      <c r="G916" s="48"/>
      <c r="H916" s="60"/>
      <c r="I916" s="60"/>
      <c r="J916" s="60"/>
      <c r="K916" s="60"/>
      <c r="L916" s="48"/>
      <c r="M916" s="60"/>
      <c r="N916" s="60"/>
      <c r="O916" s="48"/>
      <c r="P916" s="48"/>
      <c r="Q916" s="48"/>
    </row>
    <row r="917">
      <c r="F917" s="60"/>
      <c r="G917" s="48"/>
      <c r="H917" s="60"/>
      <c r="I917" s="60"/>
      <c r="J917" s="60"/>
      <c r="K917" s="60"/>
      <c r="L917" s="48"/>
      <c r="M917" s="60"/>
      <c r="N917" s="60"/>
      <c r="O917" s="48"/>
      <c r="P917" s="48"/>
      <c r="Q917" s="48"/>
    </row>
    <row r="918">
      <c r="F918" s="60"/>
      <c r="G918" s="48"/>
      <c r="H918" s="60"/>
      <c r="I918" s="60"/>
      <c r="J918" s="60"/>
      <c r="K918" s="60"/>
      <c r="L918" s="48"/>
      <c r="M918" s="60"/>
      <c r="N918" s="60"/>
      <c r="O918" s="48"/>
      <c r="P918" s="48"/>
      <c r="Q918" s="48"/>
    </row>
    <row r="919">
      <c r="F919" s="60"/>
      <c r="G919" s="48"/>
      <c r="H919" s="60"/>
      <c r="I919" s="60"/>
      <c r="J919" s="60"/>
      <c r="K919" s="60"/>
      <c r="L919" s="48"/>
      <c r="M919" s="60"/>
      <c r="N919" s="60"/>
      <c r="O919" s="48"/>
      <c r="P919" s="48"/>
      <c r="Q919" s="48"/>
    </row>
    <row r="920">
      <c r="F920" s="60"/>
      <c r="G920" s="48"/>
      <c r="H920" s="60"/>
      <c r="I920" s="60"/>
      <c r="J920" s="60"/>
      <c r="K920" s="60"/>
      <c r="L920" s="48"/>
      <c r="M920" s="60"/>
      <c r="N920" s="60"/>
      <c r="O920" s="48"/>
      <c r="P920" s="48"/>
      <c r="Q920" s="48"/>
    </row>
    <row r="921">
      <c r="F921" s="60"/>
      <c r="G921" s="48"/>
      <c r="H921" s="60"/>
      <c r="I921" s="60"/>
      <c r="J921" s="60"/>
      <c r="K921" s="60"/>
      <c r="L921" s="48"/>
      <c r="M921" s="60"/>
      <c r="N921" s="60"/>
      <c r="O921" s="48"/>
      <c r="P921" s="48"/>
      <c r="Q921" s="48"/>
    </row>
    <row r="922">
      <c r="F922" s="60"/>
      <c r="G922" s="48"/>
      <c r="H922" s="60"/>
      <c r="I922" s="60"/>
      <c r="J922" s="60"/>
      <c r="K922" s="60"/>
      <c r="L922" s="48"/>
      <c r="M922" s="60"/>
      <c r="N922" s="60"/>
      <c r="O922" s="48"/>
      <c r="P922" s="48"/>
      <c r="Q922" s="48"/>
    </row>
    <row r="923">
      <c r="F923" s="60"/>
      <c r="G923" s="48"/>
      <c r="H923" s="60"/>
      <c r="I923" s="60"/>
      <c r="J923" s="60"/>
      <c r="K923" s="60"/>
      <c r="L923" s="48"/>
      <c r="M923" s="60"/>
      <c r="N923" s="60"/>
      <c r="O923" s="48"/>
      <c r="P923" s="48"/>
      <c r="Q923" s="48"/>
    </row>
    <row r="924">
      <c r="F924" s="60"/>
      <c r="G924" s="48"/>
      <c r="H924" s="60"/>
      <c r="I924" s="60"/>
      <c r="J924" s="60"/>
      <c r="K924" s="60"/>
      <c r="L924" s="48"/>
      <c r="M924" s="60"/>
      <c r="N924" s="60"/>
      <c r="O924" s="48"/>
      <c r="P924" s="48"/>
      <c r="Q924" s="48"/>
    </row>
    <row r="925">
      <c r="F925" s="60"/>
      <c r="G925" s="48"/>
      <c r="H925" s="60"/>
      <c r="I925" s="60"/>
      <c r="J925" s="60"/>
      <c r="K925" s="60"/>
      <c r="L925" s="48"/>
      <c r="M925" s="60"/>
      <c r="N925" s="60"/>
      <c r="O925" s="48"/>
      <c r="P925" s="48"/>
      <c r="Q925" s="48"/>
    </row>
  </sheetData>
  <conditionalFormatting sqref="D1 D4:D909">
    <cfRule type="cellIs" dxfId="0" priority="1" operator="lessThan">
      <formula>0</formula>
    </cfRule>
  </conditionalFormatting>
  <conditionalFormatting sqref="D1 D4:D909">
    <cfRule type="cellIs" dxfId="1" priority="2" operator="greaterThanOrEqual">
      <formula>0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6BDC6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19.0"/>
    <col customWidth="1" min="2" max="2" width="8.25"/>
    <col customWidth="1" hidden="1" min="3" max="3" width="15.75"/>
    <col customWidth="1" min="4" max="4" width="17.0"/>
    <col customWidth="1" min="5" max="5" width="36.63"/>
    <col customWidth="1" hidden="1" min="6" max="6" width="22.63"/>
    <col customWidth="1" hidden="1" min="7" max="7" width="21.75"/>
    <col customWidth="1" hidden="1" min="8" max="8" width="6.75"/>
    <col customWidth="1" hidden="1" min="9" max="9" width="35.13"/>
    <col customWidth="1" hidden="1" min="10" max="10" width="6.75"/>
    <col customWidth="1" min="11" max="11" width="11.38"/>
    <col customWidth="1" min="12" max="26" width="7.63"/>
  </cols>
  <sheetData>
    <row r="1">
      <c r="A1" s="62" t="s">
        <v>134</v>
      </c>
    </row>
    <row r="2">
      <c r="A2" s="62" t="s">
        <v>566</v>
      </c>
    </row>
    <row r="3">
      <c r="A3" s="305">
        <v>44742.0</v>
      </c>
    </row>
    <row r="4">
      <c r="B4" s="48"/>
      <c r="D4" s="48"/>
      <c r="J4" s="395"/>
    </row>
    <row r="5">
      <c r="B5" s="396" t="s">
        <v>552</v>
      </c>
      <c r="C5" s="397" t="s">
        <v>567</v>
      </c>
      <c r="D5" s="396" t="s">
        <v>568</v>
      </c>
      <c r="E5" s="397" t="s">
        <v>569</v>
      </c>
      <c r="F5" s="397" t="s">
        <v>570</v>
      </c>
      <c r="G5" s="397" t="s">
        <v>571</v>
      </c>
      <c r="H5" s="397" t="s">
        <v>572</v>
      </c>
      <c r="I5" s="397" t="s">
        <v>573</v>
      </c>
      <c r="J5" s="397" t="s">
        <v>574</v>
      </c>
      <c r="K5" s="397" t="s">
        <v>554</v>
      </c>
    </row>
    <row r="6">
      <c r="A6" s="68"/>
      <c r="B6" s="48"/>
      <c r="D6" s="48"/>
      <c r="J6" s="395"/>
    </row>
    <row r="7">
      <c r="B7" s="398"/>
      <c r="C7" s="398"/>
      <c r="D7" s="399"/>
      <c r="E7" s="400"/>
      <c r="F7" s="401"/>
      <c r="G7" s="402"/>
      <c r="H7" s="402"/>
      <c r="I7" s="402"/>
      <c r="J7" s="403"/>
      <c r="K7" s="404"/>
      <c r="L7" s="405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</row>
    <row r="8">
      <c r="B8" s="398"/>
      <c r="C8" s="398"/>
      <c r="D8" s="399"/>
      <c r="E8" s="400"/>
      <c r="F8" s="401"/>
      <c r="G8" s="407"/>
      <c r="H8" s="407"/>
      <c r="I8" s="407"/>
      <c r="J8" s="400"/>
      <c r="K8" s="404"/>
      <c r="L8" s="405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</row>
    <row r="9">
      <c r="B9" s="398"/>
      <c r="C9" s="398"/>
      <c r="D9" s="399"/>
      <c r="E9" s="400"/>
      <c r="F9" s="400"/>
      <c r="G9" s="407"/>
      <c r="H9" s="407"/>
      <c r="I9" s="408"/>
      <c r="J9" s="400"/>
      <c r="K9" s="404"/>
      <c r="L9" s="405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</row>
    <row r="10">
      <c r="B10" s="398"/>
      <c r="C10" s="398"/>
      <c r="D10" s="399"/>
      <c r="E10" s="400"/>
      <c r="F10" s="401"/>
      <c r="G10" s="407"/>
      <c r="H10" s="407"/>
      <c r="I10" s="407"/>
      <c r="J10" s="400"/>
      <c r="K10" s="404"/>
      <c r="L10" s="405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</row>
    <row r="11">
      <c r="B11" s="398"/>
      <c r="C11" s="398"/>
      <c r="D11" s="399"/>
      <c r="E11" s="409"/>
      <c r="F11" s="400"/>
      <c r="G11" s="407"/>
      <c r="H11" s="408"/>
      <c r="I11" s="408"/>
      <c r="J11" s="409"/>
      <c r="K11" s="410"/>
    </row>
    <row r="12">
      <c r="A12" s="67"/>
      <c r="B12" s="48"/>
      <c r="D12" s="48"/>
      <c r="J12" s="395"/>
      <c r="K12" s="309"/>
    </row>
    <row r="13">
      <c r="B13" s="399"/>
      <c r="C13" s="400"/>
      <c r="D13" s="408"/>
      <c r="E13" s="400"/>
      <c r="F13" s="400"/>
      <c r="G13" s="408"/>
      <c r="H13" s="408"/>
      <c r="I13" s="401"/>
      <c r="J13" s="411"/>
    </row>
    <row r="14" ht="18.75" customHeight="1">
      <c r="A14" s="68"/>
      <c r="B14" s="399"/>
      <c r="C14" s="400"/>
      <c r="D14" s="400"/>
      <c r="E14" s="408"/>
      <c r="F14" s="400"/>
      <c r="G14" s="400"/>
      <c r="H14" s="408"/>
      <c r="J14" s="408"/>
      <c r="K14" s="401"/>
    </row>
    <row r="15">
      <c r="B15" s="398"/>
      <c r="C15" s="400"/>
      <c r="D15" s="400"/>
      <c r="E15" s="400"/>
      <c r="F15" s="400"/>
      <c r="G15" s="401"/>
      <c r="I15" s="407"/>
      <c r="J15" s="400"/>
      <c r="K15" s="412"/>
    </row>
    <row r="16">
      <c r="B16" s="398"/>
      <c r="C16" s="400"/>
      <c r="D16" s="400"/>
      <c r="E16" s="400"/>
      <c r="F16" s="400"/>
      <c r="G16" s="401"/>
      <c r="I16" s="407"/>
      <c r="J16" s="400"/>
      <c r="K16" s="413"/>
    </row>
    <row r="17">
      <c r="B17" s="398"/>
      <c r="C17" s="400"/>
      <c r="D17" s="400"/>
      <c r="E17" s="400"/>
      <c r="F17" s="400"/>
      <c r="G17" s="401"/>
      <c r="I17" s="407"/>
      <c r="J17" s="400"/>
      <c r="K17" s="412"/>
    </row>
    <row r="18">
      <c r="B18" s="398"/>
      <c r="C18" s="400"/>
      <c r="D18" s="400"/>
      <c r="E18" s="400"/>
      <c r="F18" s="400"/>
      <c r="G18" s="411"/>
      <c r="I18" s="407"/>
      <c r="J18" s="400"/>
      <c r="K18" s="414"/>
    </row>
    <row r="19">
      <c r="B19" s="398"/>
      <c r="C19" s="400"/>
      <c r="D19" s="400"/>
      <c r="E19" s="400"/>
      <c r="F19" s="400"/>
      <c r="G19" s="401"/>
      <c r="I19" s="407"/>
      <c r="J19" s="400"/>
      <c r="K19" s="415"/>
    </row>
    <row r="20">
      <c r="B20" s="398"/>
      <c r="C20" s="400"/>
      <c r="D20" s="400"/>
      <c r="E20" s="400"/>
      <c r="F20" s="400"/>
      <c r="G20" s="401"/>
      <c r="I20" s="407"/>
      <c r="J20" s="400"/>
      <c r="K20" s="415"/>
    </row>
    <row r="21">
      <c r="B21" s="398"/>
      <c r="C21" s="400"/>
      <c r="D21" s="400"/>
      <c r="E21" s="400"/>
      <c r="F21" s="400"/>
      <c r="G21" s="401"/>
      <c r="I21" s="407"/>
      <c r="J21" s="400"/>
      <c r="K21" s="412"/>
    </row>
    <row r="22">
      <c r="B22" s="398"/>
      <c r="C22" s="400"/>
      <c r="D22" s="400"/>
      <c r="E22" s="400"/>
      <c r="F22" s="400"/>
      <c r="G22" s="401"/>
      <c r="I22" s="407"/>
      <c r="J22" s="400"/>
      <c r="K22" s="412"/>
    </row>
    <row r="23">
      <c r="B23" s="398"/>
      <c r="C23" s="400"/>
      <c r="D23" s="400"/>
      <c r="E23" s="400"/>
      <c r="F23" s="400"/>
      <c r="G23" s="401"/>
      <c r="I23" s="407"/>
      <c r="J23" s="400"/>
      <c r="K23" s="412"/>
    </row>
    <row r="24">
      <c r="B24" s="398"/>
      <c r="C24" s="400"/>
      <c r="D24" s="400"/>
      <c r="E24" s="400"/>
      <c r="F24" s="400"/>
      <c r="G24" s="411"/>
      <c r="I24" s="407"/>
      <c r="J24" s="400"/>
      <c r="K24" s="414"/>
    </row>
    <row r="25">
      <c r="B25" s="398"/>
      <c r="C25" s="400"/>
      <c r="D25" s="400"/>
      <c r="E25" s="400"/>
      <c r="F25" s="400"/>
      <c r="G25" s="411"/>
      <c r="I25" s="407"/>
      <c r="J25" s="400"/>
      <c r="K25" s="414"/>
      <c r="L25" s="70"/>
    </row>
    <row r="26">
      <c r="B26" s="398"/>
      <c r="C26" s="400"/>
      <c r="D26" s="400"/>
      <c r="E26" s="400"/>
      <c r="F26" s="400"/>
      <c r="G26" s="401"/>
      <c r="I26" s="407"/>
      <c r="J26" s="400"/>
      <c r="K26" s="412"/>
    </row>
    <row r="27">
      <c r="B27" s="398"/>
      <c r="C27" s="400"/>
      <c r="D27" s="400"/>
      <c r="E27" s="400"/>
      <c r="F27" s="400"/>
      <c r="G27" s="411"/>
      <c r="I27" s="407"/>
      <c r="J27" s="400"/>
      <c r="K27" s="414"/>
    </row>
    <row r="28">
      <c r="B28" s="398"/>
      <c r="C28" s="400"/>
      <c r="D28" s="400"/>
      <c r="E28" s="400"/>
      <c r="F28" s="400"/>
      <c r="G28" s="401"/>
      <c r="I28" s="407"/>
      <c r="J28" s="400"/>
      <c r="K28" s="412"/>
    </row>
    <row r="29">
      <c r="B29" s="398"/>
      <c r="C29" s="400"/>
      <c r="D29" s="400"/>
      <c r="E29" s="400"/>
      <c r="F29" s="400"/>
      <c r="G29" s="411"/>
      <c r="I29" s="407"/>
      <c r="J29" s="400"/>
      <c r="K29" s="414"/>
    </row>
    <row r="30">
      <c r="B30" s="399"/>
      <c r="C30" s="400"/>
      <c r="D30" s="400"/>
      <c r="E30" s="408"/>
      <c r="F30" s="400"/>
      <c r="G30" s="400"/>
      <c r="H30" s="408"/>
      <c r="J30" s="408"/>
      <c r="K30" s="416"/>
    </row>
    <row r="31">
      <c r="A31" s="417"/>
      <c r="B31" s="48"/>
      <c r="D31" s="48"/>
      <c r="J31" s="395"/>
      <c r="K31" s="411"/>
    </row>
    <row r="32">
      <c r="B32" s="48"/>
      <c r="D32" s="48"/>
      <c r="J32" s="395"/>
    </row>
    <row r="33">
      <c r="B33" s="48"/>
      <c r="D33" s="48"/>
      <c r="J33" s="395"/>
    </row>
    <row r="34">
      <c r="A34" s="300"/>
      <c r="B34" s="48"/>
      <c r="D34" s="48"/>
      <c r="J34" s="395"/>
    </row>
    <row r="35">
      <c r="A35" s="418"/>
      <c r="B35" s="48"/>
      <c r="C35" s="48"/>
      <c r="D35" s="48"/>
      <c r="E35" s="48"/>
      <c r="F35" s="48"/>
      <c r="G35" s="48"/>
      <c r="H35" s="48"/>
      <c r="I35" s="48"/>
      <c r="J35" s="395"/>
      <c r="K35" s="48"/>
      <c r="L35" s="48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</row>
    <row r="36">
      <c r="A36" s="419"/>
      <c r="B36" s="420"/>
      <c r="C36" s="421"/>
      <c r="D36" s="422"/>
      <c r="E36" s="421"/>
      <c r="F36" s="421"/>
      <c r="G36" s="421"/>
      <c r="H36" s="422"/>
      <c r="I36" s="423"/>
      <c r="J36" s="421"/>
      <c r="K36" s="424"/>
      <c r="L36" s="424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</row>
    <row r="37">
      <c r="A37" s="402"/>
      <c r="B37" s="420"/>
      <c r="C37" s="421"/>
      <c r="D37" s="422"/>
      <c r="E37" s="421"/>
      <c r="F37" s="421"/>
      <c r="G37" s="421"/>
      <c r="H37" s="422"/>
      <c r="I37" s="423"/>
      <c r="J37" s="421"/>
      <c r="K37" s="424"/>
      <c r="L37" s="424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</row>
    <row r="38">
      <c r="A38" s="418"/>
      <c r="B38" s="425"/>
      <c r="C38" s="406"/>
      <c r="D38" s="425"/>
      <c r="E38" s="406"/>
      <c r="F38" s="406"/>
      <c r="G38" s="406"/>
      <c r="H38" s="406"/>
      <c r="I38" s="406"/>
      <c r="J38" s="426"/>
      <c r="K38" s="294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</row>
    <row r="39">
      <c r="B39" s="48"/>
      <c r="D39" s="48"/>
      <c r="J39" s="395"/>
    </row>
    <row r="40">
      <c r="A40" s="41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6"/>
    </row>
    <row r="41">
      <c r="A41" s="41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406"/>
      <c r="Z41" s="406"/>
    </row>
    <row r="42">
      <c r="A42" s="419"/>
      <c r="B42" s="399"/>
      <c r="C42" s="400"/>
      <c r="D42" s="400"/>
      <c r="E42" s="407"/>
      <c r="F42" s="408"/>
      <c r="G42" s="401"/>
      <c r="H42" s="423"/>
      <c r="I42" s="423"/>
      <c r="J42" s="421"/>
      <c r="K42" s="309"/>
      <c r="L42" s="291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</row>
    <row r="43">
      <c r="A43" s="419"/>
      <c r="B43" s="399"/>
      <c r="C43" s="400"/>
      <c r="D43" s="400"/>
      <c r="E43" s="407"/>
      <c r="F43" s="408"/>
      <c r="G43" s="401"/>
      <c r="H43" s="423"/>
      <c r="I43" s="423"/>
      <c r="J43" s="421"/>
      <c r="K43" s="309"/>
      <c r="L43" s="291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</row>
    <row r="44">
      <c r="A44" s="419"/>
      <c r="B44" s="399"/>
      <c r="C44" s="400"/>
      <c r="D44" s="400"/>
      <c r="E44" s="407"/>
      <c r="F44" s="408"/>
      <c r="G44" s="401"/>
      <c r="H44" s="423"/>
      <c r="I44" s="423"/>
      <c r="J44" s="421"/>
      <c r="K44" s="309"/>
      <c r="L44" s="291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</row>
    <row r="45">
      <c r="A45" s="419"/>
      <c r="B45" s="399"/>
      <c r="C45" s="400"/>
      <c r="D45" s="400"/>
      <c r="E45" s="407"/>
      <c r="F45" s="408"/>
      <c r="G45" s="401"/>
      <c r="H45" s="423"/>
      <c r="I45" s="423"/>
      <c r="J45" s="421"/>
      <c r="K45" s="309"/>
      <c r="L45" s="291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</row>
    <row r="46">
      <c r="A46" s="419"/>
      <c r="B46" s="399"/>
      <c r="C46" s="400"/>
      <c r="D46" s="400"/>
      <c r="E46" s="400"/>
      <c r="F46" s="408"/>
      <c r="G46" s="401"/>
      <c r="H46" s="423"/>
      <c r="I46" s="423"/>
      <c r="J46" s="421"/>
      <c r="K46" s="309"/>
      <c r="L46" s="291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</row>
    <row r="47">
      <c r="A47" s="419"/>
      <c r="B47" s="427"/>
      <c r="C47" s="419"/>
      <c r="D47" s="402"/>
      <c r="F47" s="419"/>
      <c r="G47" s="419"/>
      <c r="H47" s="419"/>
      <c r="J47" s="402"/>
      <c r="K47" s="290"/>
      <c r="L47" s="291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</row>
    <row r="48">
      <c r="A48" s="418"/>
      <c r="B48" s="425"/>
      <c r="C48" s="406"/>
      <c r="D48" s="406"/>
      <c r="E48" s="406"/>
      <c r="F48" s="406"/>
      <c r="G48" s="406"/>
      <c r="H48" s="406"/>
      <c r="I48" s="406"/>
      <c r="J48" s="406"/>
      <c r="K48" s="294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</row>
    <row r="49">
      <c r="B49" s="48"/>
      <c r="D49" s="48"/>
      <c r="J49" s="395"/>
    </row>
    <row r="50">
      <c r="A50" s="67"/>
      <c r="B50" s="48"/>
      <c r="J50" s="395"/>
      <c r="K50" s="428"/>
    </row>
    <row r="51">
      <c r="B51" s="48"/>
      <c r="D51" s="48"/>
      <c r="J51" s="395"/>
    </row>
    <row r="52">
      <c r="B52" s="48"/>
      <c r="D52" s="48"/>
      <c r="J52" s="395"/>
    </row>
    <row r="53">
      <c r="B53" s="48"/>
      <c r="D53" s="48"/>
      <c r="J53" s="395"/>
    </row>
    <row r="54">
      <c r="B54" s="48"/>
      <c r="D54" s="48"/>
      <c r="J54" s="395"/>
    </row>
    <row r="55">
      <c r="B55" s="48"/>
      <c r="D55" s="48"/>
      <c r="J55" s="395"/>
    </row>
    <row r="56">
      <c r="B56" s="48"/>
      <c r="D56" s="48"/>
      <c r="J56" s="395"/>
    </row>
    <row r="57">
      <c r="B57" s="48"/>
      <c r="D57" s="48"/>
      <c r="J57" s="395"/>
    </row>
    <row r="58">
      <c r="B58" s="48"/>
      <c r="D58" s="48"/>
      <c r="J58" s="395"/>
    </row>
    <row r="59">
      <c r="B59" s="48"/>
      <c r="D59" s="48"/>
      <c r="J59" s="395"/>
    </row>
    <row r="60">
      <c r="B60" s="48"/>
      <c r="D60" s="48"/>
      <c r="J60" s="395"/>
    </row>
    <row r="61">
      <c r="B61" s="48"/>
      <c r="D61" s="48"/>
      <c r="J61" s="395"/>
    </row>
    <row r="62">
      <c r="B62" s="48"/>
      <c r="D62" s="48"/>
      <c r="J62" s="395"/>
    </row>
    <row r="63">
      <c r="B63" s="48"/>
      <c r="D63" s="48"/>
      <c r="J63" s="395"/>
    </row>
    <row r="64">
      <c r="B64" s="48"/>
      <c r="D64" s="48"/>
      <c r="J64" s="395"/>
    </row>
    <row r="65">
      <c r="B65" s="48"/>
      <c r="D65" s="48"/>
      <c r="J65" s="395"/>
    </row>
    <row r="66">
      <c r="B66" s="48"/>
      <c r="D66" s="48"/>
      <c r="J66" s="395"/>
    </row>
    <row r="67">
      <c r="B67" s="48"/>
      <c r="D67" s="48"/>
      <c r="J67" s="395"/>
    </row>
    <row r="68">
      <c r="B68" s="48"/>
      <c r="D68" s="48"/>
      <c r="J68" s="395"/>
    </row>
    <row r="69">
      <c r="B69" s="48"/>
      <c r="D69" s="48"/>
      <c r="J69" s="395"/>
    </row>
    <row r="70">
      <c r="B70" s="48"/>
      <c r="D70" s="48"/>
      <c r="J70" s="395"/>
    </row>
    <row r="71">
      <c r="B71" s="48"/>
      <c r="D71" s="48"/>
      <c r="J71" s="395"/>
    </row>
    <row r="72">
      <c r="B72" s="48"/>
      <c r="D72" s="48"/>
      <c r="J72" s="395"/>
    </row>
    <row r="73">
      <c r="B73" s="48"/>
      <c r="D73" s="48"/>
      <c r="J73" s="395"/>
    </row>
    <row r="74">
      <c r="B74" s="48"/>
      <c r="D74" s="48"/>
      <c r="J74" s="395"/>
    </row>
    <row r="75">
      <c r="B75" s="48"/>
      <c r="D75" s="48"/>
      <c r="J75" s="395"/>
    </row>
    <row r="76">
      <c r="B76" s="48"/>
      <c r="D76" s="48"/>
      <c r="J76" s="395"/>
    </row>
    <row r="77">
      <c r="B77" s="48"/>
      <c r="D77" s="48"/>
      <c r="J77" s="395"/>
    </row>
    <row r="78">
      <c r="B78" s="48"/>
      <c r="D78" s="48"/>
      <c r="J78" s="395"/>
    </row>
    <row r="79">
      <c r="B79" s="48"/>
      <c r="D79" s="48"/>
      <c r="J79" s="395"/>
    </row>
    <row r="80">
      <c r="B80" s="48"/>
      <c r="D80" s="48"/>
      <c r="J80" s="395"/>
    </row>
    <row r="81">
      <c r="B81" s="48"/>
      <c r="D81" s="48"/>
      <c r="J81" s="395"/>
    </row>
    <row r="82">
      <c r="B82" s="48"/>
      <c r="D82" s="48"/>
      <c r="J82" s="395"/>
    </row>
    <row r="83">
      <c r="B83" s="48"/>
      <c r="D83" s="48"/>
      <c r="J83" s="395"/>
    </row>
    <row r="84">
      <c r="B84" s="48"/>
      <c r="D84" s="48"/>
      <c r="J84" s="395"/>
    </row>
    <row r="85">
      <c r="B85" s="48"/>
      <c r="D85" s="48"/>
      <c r="J85" s="395"/>
    </row>
    <row r="86">
      <c r="B86" s="48"/>
      <c r="D86" s="48"/>
      <c r="J86" s="395"/>
    </row>
    <row r="87">
      <c r="B87" s="48"/>
      <c r="D87" s="48"/>
      <c r="J87" s="395"/>
    </row>
    <row r="88">
      <c r="B88" s="48"/>
      <c r="D88" s="48"/>
      <c r="J88" s="395"/>
    </row>
    <row r="89">
      <c r="B89" s="48"/>
      <c r="D89" s="48"/>
      <c r="J89" s="395"/>
    </row>
    <row r="90">
      <c r="B90" s="48"/>
      <c r="D90" s="48"/>
      <c r="J90" s="395"/>
    </row>
    <row r="91">
      <c r="B91" s="48"/>
      <c r="D91" s="48"/>
      <c r="J91" s="395"/>
    </row>
    <row r="92">
      <c r="B92" s="48"/>
      <c r="D92" s="48"/>
      <c r="J92" s="395"/>
    </row>
    <row r="93">
      <c r="B93" s="48"/>
      <c r="D93" s="48"/>
      <c r="J93" s="395"/>
    </row>
    <row r="94">
      <c r="B94" s="48"/>
      <c r="D94" s="48"/>
      <c r="J94" s="395"/>
    </row>
    <row r="95">
      <c r="B95" s="48"/>
      <c r="D95" s="48"/>
      <c r="J95" s="395"/>
    </row>
    <row r="96">
      <c r="B96" s="48"/>
      <c r="D96" s="48"/>
      <c r="J96" s="395"/>
    </row>
    <row r="97">
      <c r="B97" s="48"/>
      <c r="D97" s="48"/>
      <c r="J97" s="395"/>
    </row>
    <row r="98">
      <c r="B98" s="48"/>
      <c r="D98" s="48"/>
      <c r="J98" s="395"/>
    </row>
    <row r="99">
      <c r="B99" s="48"/>
      <c r="D99" s="48"/>
      <c r="J99" s="395"/>
    </row>
    <row r="100">
      <c r="B100" s="48"/>
      <c r="D100" s="48"/>
      <c r="J100" s="395"/>
    </row>
    <row r="101">
      <c r="B101" s="48"/>
      <c r="D101" s="48"/>
      <c r="J101" s="395"/>
    </row>
    <row r="102">
      <c r="B102" s="48"/>
      <c r="D102" s="48"/>
      <c r="J102" s="395"/>
    </row>
    <row r="103">
      <c r="B103" s="48"/>
      <c r="D103" s="48"/>
      <c r="J103" s="395"/>
    </row>
    <row r="104">
      <c r="B104" s="48"/>
      <c r="D104" s="48"/>
      <c r="J104" s="395"/>
    </row>
    <row r="105">
      <c r="B105" s="48"/>
      <c r="D105" s="48"/>
      <c r="J105" s="395"/>
    </row>
    <row r="106">
      <c r="B106" s="48"/>
      <c r="D106" s="48"/>
      <c r="J106" s="395"/>
    </row>
    <row r="107">
      <c r="B107" s="48"/>
      <c r="D107" s="48"/>
      <c r="J107" s="395"/>
    </row>
    <row r="108">
      <c r="B108" s="48"/>
      <c r="D108" s="48"/>
      <c r="J108" s="395"/>
    </row>
    <row r="109">
      <c r="B109" s="48"/>
      <c r="D109" s="48"/>
      <c r="J109" s="395"/>
    </row>
    <row r="110">
      <c r="B110" s="48"/>
      <c r="D110" s="48"/>
      <c r="J110" s="395"/>
    </row>
    <row r="111">
      <c r="B111" s="48"/>
      <c r="D111" s="48"/>
      <c r="J111" s="395"/>
    </row>
    <row r="112">
      <c r="B112" s="48"/>
      <c r="D112" s="48"/>
      <c r="J112" s="395"/>
    </row>
    <row r="113">
      <c r="B113" s="48"/>
      <c r="D113" s="48"/>
      <c r="J113" s="395"/>
    </row>
    <row r="114">
      <c r="B114" s="48"/>
      <c r="D114" s="48"/>
      <c r="J114" s="395"/>
    </row>
    <row r="115">
      <c r="B115" s="48"/>
      <c r="D115" s="48"/>
      <c r="J115" s="395"/>
    </row>
    <row r="116">
      <c r="B116" s="48"/>
      <c r="D116" s="48"/>
      <c r="J116" s="395"/>
    </row>
    <row r="117">
      <c r="B117" s="48"/>
      <c r="D117" s="48"/>
      <c r="J117" s="395"/>
    </row>
    <row r="118">
      <c r="B118" s="48"/>
      <c r="D118" s="48"/>
      <c r="J118" s="395"/>
    </row>
    <row r="119">
      <c r="B119" s="48"/>
      <c r="D119" s="48"/>
      <c r="J119" s="395"/>
    </row>
    <row r="120">
      <c r="B120" s="48"/>
      <c r="D120" s="48"/>
      <c r="J120" s="395"/>
    </row>
    <row r="121">
      <c r="B121" s="48"/>
      <c r="D121" s="48"/>
      <c r="J121" s="395"/>
    </row>
    <row r="122">
      <c r="B122" s="48"/>
      <c r="D122" s="48"/>
      <c r="J122" s="395"/>
    </row>
    <row r="123">
      <c r="B123" s="48"/>
      <c r="D123" s="48"/>
      <c r="J123" s="395"/>
    </row>
    <row r="124">
      <c r="B124" s="48"/>
      <c r="D124" s="48"/>
      <c r="J124" s="395"/>
    </row>
    <row r="125">
      <c r="B125" s="48"/>
      <c r="D125" s="48"/>
      <c r="J125" s="395"/>
    </row>
    <row r="126">
      <c r="B126" s="48"/>
      <c r="D126" s="48"/>
      <c r="J126" s="395"/>
    </row>
    <row r="127">
      <c r="B127" s="48"/>
      <c r="D127" s="48"/>
      <c r="J127" s="395"/>
    </row>
    <row r="128">
      <c r="B128" s="48"/>
      <c r="D128" s="48"/>
      <c r="J128" s="395"/>
    </row>
    <row r="129">
      <c r="B129" s="48"/>
      <c r="D129" s="48"/>
      <c r="J129" s="395"/>
    </row>
    <row r="130">
      <c r="B130" s="48"/>
      <c r="D130" s="48"/>
      <c r="J130" s="395"/>
    </row>
    <row r="131">
      <c r="B131" s="48"/>
      <c r="D131" s="48"/>
      <c r="J131" s="395"/>
    </row>
    <row r="132">
      <c r="B132" s="48"/>
      <c r="D132" s="48"/>
      <c r="J132" s="395"/>
    </row>
    <row r="133">
      <c r="B133" s="48"/>
      <c r="D133" s="48"/>
      <c r="J133" s="395"/>
    </row>
    <row r="134">
      <c r="B134" s="48"/>
      <c r="D134" s="48"/>
      <c r="J134" s="395"/>
    </row>
    <row r="135">
      <c r="B135" s="48"/>
      <c r="D135" s="48"/>
      <c r="J135" s="395"/>
    </row>
    <row r="136">
      <c r="B136" s="48"/>
      <c r="D136" s="48"/>
      <c r="J136" s="395"/>
    </row>
    <row r="137">
      <c r="B137" s="48"/>
      <c r="D137" s="48"/>
      <c r="J137" s="395"/>
    </row>
    <row r="138">
      <c r="B138" s="48"/>
      <c r="D138" s="48"/>
      <c r="J138" s="395"/>
    </row>
    <row r="139">
      <c r="B139" s="48"/>
      <c r="D139" s="48"/>
      <c r="J139" s="395"/>
    </row>
    <row r="140">
      <c r="B140" s="48"/>
      <c r="D140" s="48"/>
      <c r="J140" s="395"/>
    </row>
    <row r="141">
      <c r="B141" s="48"/>
      <c r="D141" s="48"/>
      <c r="J141" s="395"/>
    </row>
    <row r="142">
      <c r="B142" s="48"/>
      <c r="D142" s="48"/>
      <c r="J142" s="395"/>
    </row>
    <row r="143">
      <c r="B143" s="48"/>
      <c r="D143" s="48"/>
      <c r="J143" s="395"/>
    </row>
    <row r="144">
      <c r="B144" s="48"/>
      <c r="D144" s="48"/>
      <c r="J144" s="395"/>
    </row>
    <row r="145">
      <c r="B145" s="48"/>
      <c r="D145" s="48"/>
      <c r="J145" s="395"/>
    </row>
    <row r="146">
      <c r="B146" s="48"/>
      <c r="D146" s="48"/>
      <c r="J146" s="395"/>
    </row>
    <row r="147">
      <c r="B147" s="48"/>
      <c r="D147" s="48"/>
      <c r="J147" s="395"/>
    </row>
    <row r="148">
      <c r="B148" s="48"/>
      <c r="D148" s="48"/>
      <c r="J148" s="395"/>
    </row>
    <row r="149">
      <c r="B149" s="48"/>
      <c r="D149" s="48"/>
      <c r="J149" s="395"/>
    </row>
    <row r="150">
      <c r="B150" s="48"/>
      <c r="D150" s="48"/>
      <c r="J150" s="395"/>
    </row>
    <row r="151">
      <c r="B151" s="48"/>
      <c r="D151" s="48"/>
      <c r="J151" s="395"/>
    </row>
    <row r="152">
      <c r="B152" s="48"/>
      <c r="D152" s="48"/>
      <c r="J152" s="395"/>
    </row>
    <row r="153">
      <c r="B153" s="48"/>
      <c r="D153" s="48"/>
      <c r="J153" s="395"/>
    </row>
    <row r="154">
      <c r="B154" s="48"/>
      <c r="D154" s="48"/>
      <c r="J154" s="395"/>
    </row>
    <row r="155">
      <c r="B155" s="48"/>
      <c r="D155" s="48"/>
      <c r="J155" s="395"/>
    </row>
    <row r="156">
      <c r="B156" s="48"/>
      <c r="D156" s="48"/>
      <c r="J156" s="395"/>
    </row>
    <row r="157">
      <c r="B157" s="48"/>
      <c r="D157" s="48"/>
      <c r="J157" s="395"/>
    </row>
    <row r="158">
      <c r="B158" s="48"/>
      <c r="D158" s="48"/>
      <c r="J158" s="395"/>
    </row>
    <row r="159">
      <c r="B159" s="48"/>
      <c r="D159" s="48"/>
      <c r="J159" s="395"/>
    </row>
    <row r="160">
      <c r="B160" s="48"/>
      <c r="D160" s="48"/>
      <c r="J160" s="395"/>
    </row>
    <row r="161">
      <c r="B161" s="48"/>
      <c r="D161" s="48"/>
      <c r="J161" s="395"/>
    </row>
    <row r="162">
      <c r="B162" s="48"/>
      <c r="D162" s="48"/>
      <c r="J162" s="395"/>
    </row>
    <row r="163">
      <c r="B163" s="48"/>
      <c r="D163" s="48"/>
      <c r="J163" s="395"/>
    </row>
    <row r="164">
      <c r="B164" s="48"/>
      <c r="D164" s="48"/>
      <c r="J164" s="395"/>
    </row>
    <row r="165">
      <c r="B165" s="48"/>
      <c r="D165" s="48"/>
      <c r="J165" s="395"/>
    </row>
    <row r="166">
      <c r="B166" s="48"/>
      <c r="D166" s="48"/>
      <c r="J166" s="395"/>
    </row>
    <row r="167">
      <c r="B167" s="48"/>
      <c r="D167" s="48"/>
      <c r="J167" s="395"/>
    </row>
    <row r="168">
      <c r="B168" s="48"/>
      <c r="D168" s="48"/>
      <c r="J168" s="395"/>
    </row>
    <row r="169">
      <c r="B169" s="48"/>
      <c r="D169" s="48"/>
      <c r="J169" s="395"/>
    </row>
    <row r="170">
      <c r="B170" s="48"/>
      <c r="D170" s="48"/>
      <c r="J170" s="395"/>
    </row>
    <row r="171">
      <c r="B171" s="48"/>
      <c r="D171" s="48"/>
      <c r="J171" s="395"/>
    </row>
    <row r="172">
      <c r="B172" s="48"/>
      <c r="D172" s="48"/>
      <c r="J172" s="395"/>
    </row>
    <row r="173">
      <c r="B173" s="48"/>
      <c r="D173" s="48"/>
      <c r="J173" s="395"/>
    </row>
    <row r="174">
      <c r="B174" s="48"/>
      <c r="D174" s="48"/>
      <c r="J174" s="395"/>
    </row>
    <row r="175">
      <c r="B175" s="48"/>
      <c r="D175" s="48"/>
      <c r="J175" s="395"/>
    </row>
    <row r="176">
      <c r="B176" s="48"/>
      <c r="D176" s="48"/>
      <c r="J176" s="395"/>
    </row>
    <row r="177">
      <c r="B177" s="48"/>
      <c r="D177" s="48"/>
      <c r="J177" s="395"/>
    </row>
    <row r="178">
      <c r="B178" s="48"/>
      <c r="D178" s="48"/>
      <c r="J178" s="395"/>
    </row>
    <row r="179">
      <c r="B179" s="48"/>
      <c r="D179" s="48"/>
      <c r="J179" s="395"/>
    </row>
    <row r="180">
      <c r="B180" s="48"/>
      <c r="D180" s="48"/>
      <c r="J180" s="395"/>
    </row>
    <row r="181">
      <c r="B181" s="48"/>
      <c r="D181" s="48"/>
      <c r="J181" s="395"/>
    </row>
    <row r="182">
      <c r="B182" s="48"/>
      <c r="D182" s="48"/>
      <c r="J182" s="395"/>
    </row>
    <row r="183">
      <c r="B183" s="48"/>
      <c r="D183" s="48"/>
      <c r="J183" s="395"/>
    </row>
    <row r="184">
      <c r="B184" s="48"/>
      <c r="D184" s="48"/>
      <c r="J184" s="395"/>
    </row>
    <row r="185">
      <c r="B185" s="48"/>
      <c r="D185" s="48"/>
      <c r="J185" s="395"/>
    </row>
    <row r="186">
      <c r="B186" s="48"/>
      <c r="D186" s="48"/>
      <c r="J186" s="395"/>
    </row>
    <row r="187">
      <c r="B187" s="48"/>
      <c r="D187" s="48"/>
      <c r="J187" s="395"/>
    </row>
    <row r="188">
      <c r="B188" s="48"/>
      <c r="D188" s="48"/>
      <c r="J188" s="395"/>
    </row>
    <row r="189">
      <c r="B189" s="48"/>
      <c r="D189" s="48"/>
      <c r="J189" s="395"/>
    </row>
    <row r="190">
      <c r="B190" s="48"/>
      <c r="D190" s="48"/>
      <c r="J190" s="395"/>
    </row>
    <row r="191">
      <c r="B191" s="48"/>
      <c r="D191" s="48"/>
      <c r="J191" s="395"/>
    </row>
    <row r="192">
      <c r="B192" s="48"/>
      <c r="D192" s="48"/>
      <c r="J192" s="395"/>
    </row>
    <row r="193">
      <c r="B193" s="48"/>
      <c r="D193" s="48"/>
      <c r="J193" s="395"/>
    </row>
    <row r="194">
      <c r="B194" s="48"/>
      <c r="D194" s="48"/>
      <c r="J194" s="395"/>
    </row>
    <row r="195">
      <c r="B195" s="48"/>
      <c r="D195" s="48"/>
      <c r="J195" s="395"/>
    </row>
    <row r="196">
      <c r="B196" s="48"/>
      <c r="D196" s="48"/>
      <c r="J196" s="395"/>
    </row>
    <row r="197">
      <c r="B197" s="48"/>
      <c r="D197" s="48"/>
      <c r="J197" s="395"/>
    </row>
    <row r="198">
      <c r="B198" s="48"/>
      <c r="D198" s="48"/>
      <c r="J198" s="395"/>
    </row>
    <row r="199">
      <c r="B199" s="48"/>
      <c r="D199" s="48"/>
      <c r="J199" s="395"/>
    </row>
    <row r="200">
      <c r="B200" s="48"/>
      <c r="D200" s="48"/>
      <c r="J200" s="395"/>
    </row>
    <row r="201">
      <c r="B201" s="48"/>
      <c r="D201" s="48"/>
      <c r="J201" s="395"/>
    </row>
    <row r="202">
      <c r="B202" s="48"/>
      <c r="D202" s="48"/>
      <c r="J202" s="395"/>
    </row>
    <row r="203">
      <c r="B203" s="48"/>
      <c r="D203" s="48"/>
      <c r="J203" s="395"/>
    </row>
    <row r="204">
      <c r="B204" s="48"/>
      <c r="D204" s="48"/>
      <c r="J204" s="395"/>
    </row>
    <row r="205">
      <c r="B205" s="48"/>
      <c r="D205" s="48"/>
      <c r="J205" s="395"/>
    </row>
    <row r="206">
      <c r="B206" s="48"/>
      <c r="D206" s="48"/>
      <c r="J206" s="395"/>
    </row>
    <row r="207">
      <c r="B207" s="48"/>
      <c r="D207" s="48"/>
      <c r="J207" s="395"/>
    </row>
    <row r="208">
      <c r="B208" s="48"/>
      <c r="D208" s="48"/>
      <c r="J208" s="395"/>
    </row>
    <row r="209">
      <c r="B209" s="48"/>
      <c r="D209" s="48"/>
      <c r="J209" s="395"/>
    </row>
    <row r="210">
      <c r="B210" s="48"/>
      <c r="D210" s="48"/>
      <c r="J210" s="395"/>
    </row>
    <row r="211">
      <c r="B211" s="48"/>
      <c r="D211" s="48"/>
      <c r="J211" s="395"/>
    </row>
    <row r="212">
      <c r="B212" s="48"/>
      <c r="D212" s="48"/>
      <c r="J212" s="395"/>
    </row>
    <row r="213">
      <c r="B213" s="48"/>
      <c r="D213" s="48"/>
      <c r="J213" s="395"/>
    </row>
    <row r="214">
      <c r="B214" s="48"/>
      <c r="D214" s="48"/>
      <c r="J214" s="395"/>
    </row>
    <row r="215">
      <c r="B215" s="48"/>
      <c r="D215" s="48"/>
      <c r="J215" s="395"/>
    </row>
    <row r="216">
      <c r="B216" s="48"/>
      <c r="D216" s="48"/>
      <c r="J216" s="395"/>
    </row>
    <row r="217">
      <c r="B217" s="48"/>
      <c r="D217" s="48"/>
      <c r="J217" s="395"/>
    </row>
    <row r="218">
      <c r="B218" s="48"/>
      <c r="D218" s="48"/>
      <c r="J218" s="395"/>
    </row>
    <row r="219">
      <c r="B219" s="48"/>
      <c r="D219" s="48"/>
      <c r="J219" s="395"/>
    </row>
    <row r="220">
      <c r="B220" s="48"/>
      <c r="D220" s="48"/>
      <c r="J220" s="395"/>
    </row>
    <row r="221">
      <c r="B221" s="48"/>
      <c r="D221" s="48"/>
      <c r="J221" s="395"/>
    </row>
    <row r="222">
      <c r="B222" s="48"/>
      <c r="D222" s="48"/>
      <c r="J222" s="395"/>
    </row>
    <row r="223">
      <c r="B223" s="48"/>
      <c r="D223" s="48"/>
      <c r="J223" s="395"/>
    </row>
    <row r="224">
      <c r="B224" s="48"/>
      <c r="D224" s="48"/>
      <c r="J224" s="395"/>
    </row>
    <row r="225">
      <c r="B225" s="48"/>
      <c r="D225" s="48"/>
      <c r="J225" s="395"/>
    </row>
    <row r="226">
      <c r="B226" s="48"/>
      <c r="D226" s="48"/>
      <c r="J226" s="395"/>
    </row>
    <row r="227">
      <c r="B227" s="48"/>
      <c r="D227" s="48"/>
      <c r="J227" s="395"/>
    </row>
    <row r="228">
      <c r="B228" s="48"/>
      <c r="D228" s="48"/>
      <c r="J228" s="395"/>
    </row>
    <row r="229">
      <c r="B229" s="48"/>
      <c r="D229" s="48"/>
      <c r="J229" s="395"/>
    </row>
    <row r="230">
      <c r="B230" s="48"/>
      <c r="D230" s="48"/>
      <c r="J230" s="395"/>
    </row>
    <row r="231">
      <c r="B231" s="48"/>
      <c r="D231" s="48"/>
      <c r="J231" s="395"/>
    </row>
    <row r="232">
      <c r="B232" s="48"/>
      <c r="D232" s="48"/>
      <c r="J232" s="395"/>
    </row>
    <row r="233">
      <c r="B233" s="48"/>
      <c r="D233" s="48"/>
      <c r="J233" s="395"/>
    </row>
    <row r="234">
      <c r="B234" s="48"/>
      <c r="D234" s="48"/>
      <c r="J234" s="395"/>
    </row>
    <row r="235">
      <c r="B235" s="48"/>
      <c r="D235" s="48"/>
      <c r="J235" s="395"/>
    </row>
    <row r="236">
      <c r="B236" s="48"/>
      <c r="D236" s="48"/>
      <c r="J236" s="395"/>
    </row>
    <row r="237">
      <c r="B237" s="48"/>
      <c r="D237" s="48"/>
      <c r="J237" s="395"/>
    </row>
    <row r="238">
      <c r="B238" s="48"/>
      <c r="D238" s="48"/>
      <c r="J238" s="395"/>
    </row>
    <row r="239">
      <c r="B239" s="48"/>
      <c r="D239" s="48"/>
      <c r="J239" s="395"/>
    </row>
    <row r="240">
      <c r="B240" s="48"/>
      <c r="D240" s="48"/>
      <c r="J240" s="395"/>
    </row>
    <row r="241">
      <c r="B241" s="48"/>
      <c r="D241" s="48"/>
      <c r="J241" s="395"/>
    </row>
    <row r="242">
      <c r="B242" s="48"/>
      <c r="D242" s="48"/>
      <c r="J242" s="395"/>
    </row>
    <row r="243">
      <c r="B243" s="48"/>
      <c r="D243" s="48"/>
      <c r="J243" s="395"/>
    </row>
    <row r="244">
      <c r="B244" s="48"/>
      <c r="D244" s="48"/>
      <c r="J244" s="395"/>
    </row>
    <row r="245">
      <c r="B245" s="48"/>
      <c r="D245" s="48"/>
      <c r="J245" s="395"/>
    </row>
    <row r="246">
      <c r="B246" s="48"/>
      <c r="D246" s="48"/>
      <c r="J246" s="395"/>
    </row>
    <row r="247">
      <c r="B247" s="48"/>
      <c r="D247" s="48"/>
      <c r="J247" s="395"/>
    </row>
    <row r="248">
      <c r="B248" s="48"/>
      <c r="D248" s="48"/>
      <c r="J248" s="395"/>
    </row>
    <row r="249">
      <c r="B249" s="48"/>
      <c r="D249" s="48"/>
      <c r="J249" s="395"/>
    </row>
    <row r="250">
      <c r="B250" s="48"/>
      <c r="D250" s="48"/>
      <c r="J250" s="395"/>
    </row>
    <row r="251">
      <c r="B251" s="48"/>
      <c r="D251" s="48"/>
      <c r="J251" s="395"/>
    </row>
    <row r="252">
      <c r="B252" s="48"/>
      <c r="D252" s="48"/>
      <c r="J252" s="395"/>
    </row>
    <row r="253">
      <c r="B253" s="48"/>
      <c r="D253" s="48"/>
      <c r="J253" s="395"/>
    </row>
    <row r="254">
      <c r="B254" s="48"/>
      <c r="D254" s="48"/>
      <c r="J254" s="395"/>
    </row>
    <row r="255">
      <c r="B255" s="48"/>
      <c r="D255" s="48"/>
      <c r="J255" s="395"/>
    </row>
    <row r="256">
      <c r="B256" s="48"/>
      <c r="D256" s="48"/>
      <c r="J256" s="395"/>
    </row>
    <row r="257">
      <c r="B257" s="48"/>
      <c r="D257" s="48"/>
      <c r="J257" s="395"/>
    </row>
    <row r="258">
      <c r="B258" s="48"/>
      <c r="D258" s="48"/>
      <c r="J258" s="395"/>
    </row>
    <row r="259">
      <c r="B259" s="48"/>
      <c r="D259" s="48"/>
      <c r="J259" s="395"/>
    </row>
    <row r="260">
      <c r="B260" s="48"/>
      <c r="D260" s="48"/>
      <c r="J260" s="395"/>
    </row>
    <row r="261">
      <c r="B261" s="48"/>
      <c r="D261" s="48"/>
      <c r="J261" s="395"/>
    </row>
    <row r="262">
      <c r="B262" s="48"/>
      <c r="D262" s="48"/>
      <c r="J262" s="395"/>
    </row>
    <row r="263">
      <c r="B263" s="48"/>
      <c r="D263" s="48"/>
      <c r="J263" s="395"/>
    </row>
    <row r="264">
      <c r="B264" s="48"/>
      <c r="D264" s="48"/>
      <c r="J264" s="395"/>
    </row>
    <row r="265">
      <c r="B265" s="48"/>
      <c r="D265" s="48"/>
      <c r="J265" s="395"/>
    </row>
    <row r="266">
      <c r="B266" s="48"/>
      <c r="D266" s="48"/>
      <c r="J266" s="395"/>
    </row>
    <row r="267">
      <c r="B267" s="48"/>
      <c r="D267" s="48"/>
      <c r="J267" s="395"/>
    </row>
    <row r="268">
      <c r="B268" s="48"/>
      <c r="D268" s="48"/>
      <c r="J268" s="395"/>
    </row>
    <row r="269">
      <c r="B269" s="48"/>
      <c r="D269" s="48"/>
      <c r="J269" s="395"/>
    </row>
    <row r="270">
      <c r="B270" s="48"/>
      <c r="D270" s="48"/>
      <c r="J270" s="395"/>
    </row>
    <row r="271">
      <c r="B271" s="48"/>
      <c r="D271" s="48"/>
      <c r="J271" s="395"/>
    </row>
    <row r="272">
      <c r="B272" s="48"/>
      <c r="D272" s="48"/>
      <c r="J272" s="395"/>
    </row>
    <row r="273">
      <c r="B273" s="48"/>
      <c r="D273" s="48"/>
      <c r="J273" s="395"/>
    </row>
    <row r="274">
      <c r="B274" s="48"/>
      <c r="D274" s="48"/>
      <c r="J274" s="395"/>
    </row>
    <row r="275">
      <c r="B275" s="48"/>
      <c r="D275" s="48"/>
      <c r="J275" s="395"/>
    </row>
    <row r="276">
      <c r="B276" s="48"/>
      <c r="D276" s="48"/>
      <c r="J276" s="395"/>
    </row>
    <row r="277">
      <c r="B277" s="48"/>
      <c r="D277" s="48"/>
      <c r="J277" s="395"/>
    </row>
    <row r="278">
      <c r="B278" s="48"/>
      <c r="D278" s="48"/>
      <c r="J278" s="395"/>
    </row>
    <row r="279">
      <c r="B279" s="48"/>
      <c r="D279" s="48"/>
      <c r="J279" s="395"/>
    </row>
    <row r="280">
      <c r="B280" s="48"/>
      <c r="D280" s="48"/>
      <c r="J280" s="395"/>
    </row>
    <row r="281">
      <c r="B281" s="48"/>
      <c r="D281" s="48"/>
      <c r="J281" s="395"/>
    </row>
    <row r="282">
      <c r="B282" s="48"/>
      <c r="D282" s="48"/>
      <c r="J282" s="395"/>
    </row>
    <row r="283">
      <c r="B283" s="48"/>
      <c r="D283" s="48"/>
      <c r="J283" s="395"/>
    </row>
    <row r="284">
      <c r="B284" s="48"/>
      <c r="D284" s="48"/>
      <c r="J284" s="395"/>
    </row>
    <row r="285">
      <c r="B285" s="48"/>
      <c r="D285" s="48"/>
      <c r="J285" s="395"/>
    </row>
    <row r="286">
      <c r="B286" s="48"/>
      <c r="D286" s="48"/>
      <c r="J286" s="395"/>
    </row>
    <row r="287">
      <c r="B287" s="48"/>
      <c r="D287" s="48"/>
      <c r="J287" s="395"/>
    </row>
    <row r="288">
      <c r="B288" s="48"/>
      <c r="D288" s="48"/>
      <c r="J288" s="395"/>
    </row>
    <row r="289">
      <c r="B289" s="48"/>
      <c r="D289" s="48"/>
      <c r="J289" s="395"/>
    </row>
    <row r="290">
      <c r="B290" s="48"/>
      <c r="D290" s="48"/>
      <c r="J290" s="395"/>
    </row>
    <row r="291">
      <c r="B291" s="48"/>
      <c r="D291" s="48"/>
      <c r="J291" s="395"/>
    </row>
    <row r="292">
      <c r="B292" s="48"/>
      <c r="D292" s="48"/>
      <c r="J292" s="395"/>
    </row>
    <row r="293">
      <c r="B293" s="48"/>
      <c r="D293" s="48"/>
      <c r="J293" s="395"/>
    </row>
    <row r="294">
      <c r="B294" s="48"/>
      <c r="D294" s="48"/>
      <c r="J294" s="395"/>
    </row>
    <row r="295">
      <c r="B295" s="48"/>
      <c r="D295" s="48"/>
      <c r="J295" s="395"/>
    </row>
    <row r="296">
      <c r="B296" s="48"/>
      <c r="D296" s="48"/>
      <c r="J296" s="395"/>
    </row>
    <row r="297">
      <c r="B297" s="48"/>
      <c r="D297" s="48"/>
      <c r="J297" s="395"/>
    </row>
    <row r="298">
      <c r="B298" s="48"/>
      <c r="D298" s="48"/>
      <c r="J298" s="395"/>
    </row>
    <row r="299">
      <c r="B299" s="48"/>
      <c r="D299" s="48"/>
      <c r="J299" s="395"/>
    </row>
    <row r="300">
      <c r="B300" s="48"/>
      <c r="D300" s="48"/>
      <c r="J300" s="395"/>
    </row>
    <row r="301">
      <c r="B301" s="48"/>
      <c r="D301" s="48"/>
      <c r="J301" s="395"/>
    </row>
    <row r="302">
      <c r="B302" s="48"/>
      <c r="D302" s="48"/>
      <c r="J302" s="395"/>
    </row>
    <row r="303">
      <c r="B303" s="48"/>
      <c r="D303" s="48"/>
      <c r="J303" s="395"/>
    </row>
    <row r="304">
      <c r="B304" s="48"/>
      <c r="D304" s="48"/>
      <c r="J304" s="395"/>
    </row>
    <row r="305">
      <c r="B305" s="48"/>
      <c r="D305" s="48"/>
      <c r="J305" s="395"/>
    </row>
    <row r="306">
      <c r="B306" s="48"/>
      <c r="D306" s="48"/>
      <c r="J306" s="395"/>
    </row>
    <row r="307">
      <c r="B307" s="48"/>
      <c r="D307" s="48"/>
      <c r="J307" s="395"/>
    </row>
    <row r="308">
      <c r="B308" s="48"/>
      <c r="D308" s="48"/>
      <c r="J308" s="395"/>
    </row>
    <row r="309">
      <c r="B309" s="48"/>
      <c r="D309" s="48"/>
      <c r="J309" s="395"/>
    </row>
    <row r="310">
      <c r="B310" s="48"/>
      <c r="D310" s="48"/>
      <c r="J310" s="395"/>
    </row>
    <row r="311">
      <c r="B311" s="48"/>
      <c r="D311" s="48"/>
      <c r="J311" s="395"/>
    </row>
    <row r="312">
      <c r="B312" s="48"/>
      <c r="D312" s="48"/>
      <c r="J312" s="395"/>
    </row>
    <row r="313">
      <c r="B313" s="48"/>
      <c r="D313" s="48"/>
      <c r="J313" s="395"/>
    </row>
    <row r="314">
      <c r="B314" s="48"/>
      <c r="D314" s="48"/>
      <c r="J314" s="395"/>
    </row>
    <row r="315">
      <c r="B315" s="48"/>
      <c r="D315" s="48"/>
      <c r="J315" s="395"/>
    </row>
    <row r="316">
      <c r="B316" s="48"/>
      <c r="D316" s="48"/>
      <c r="J316" s="395"/>
    </row>
    <row r="317">
      <c r="B317" s="48"/>
      <c r="D317" s="48"/>
      <c r="J317" s="395"/>
    </row>
    <row r="318">
      <c r="B318" s="48"/>
      <c r="D318" s="48"/>
      <c r="J318" s="395"/>
    </row>
    <row r="319">
      <c r="B319" s="48"/>
      <c r="D319" s="48"/>
      <c r="J319" s="395"/>
    </row>
    <row r="320">
      <c r="B320" s="48"/>
      <c r="D320" s="48"/>
      <c r="J320" s="395"/>
    </row>
    <row r="321">
      <c r="B321" s="48"/>
      <c r="D321" s="48"/>
      <c r="J321" s="395"/>
    </row>
    <row r="322">
      <c r="B322" s="48"/>
      <c r="D322" s="48"/>
      <c r="J322" s="395"/>
    </row>
    <row r="323">
      <c r="B323" s="48"/>
      <c r="D323" s="48"/>
      <c r="J323" s="395"/>
    </row>
    <row r="324">
      <c r="B324" s="48"/>
      <c r="D324" s="48"/>
      <c r="J324" s="395"/>
    </row>
    <row r="325">
      <c r="B325" s="48"/>
      <c r="D325" s="48"/>
      <c r="J325" s="395"/>
    </row>
    <row r="326">
      <c r="B326" s="48"/>
      <c r="D326" s="48"/>
      <c r="J326" s="395"/>
    </row>
    <row r="327">
      <c r="B327" s="48"/>
      <c r="D327" s="48"/>
      <c r="J327" s="395"/>
    </row>
    <row r="328">
      <c r="B328" s="48"/>
      <c r="D328" s="48"/>
      <c r="J328" s="395"/>
    </row>
    <row r="329">
      <c r="B329" s="48"/>
      <c r="D329" s="48"/>
      <c r="J329" s="395"/>
    </row>
    <row r="330">
      <c r="B330" s="48"/>
      <c r="D330" s="48"/>
      <c r="J330" s="395"/>
    </row>
    <row r="331">
      <c r="B331" s="48"/>
      <c r="D331" s="48"/>
      <c r="J331" s="395"/>
    </row>
    <row r="332">
      <c r="B332" s="48"/>
      <c r="D332" s="48"/>
      <c r="J332" s="395"/>
    </row>
    <row r="333">
      <c r="B333" s="48"/>
      <c r="D333" s="48"/>
      <c r="J333" s="395"/>
    </row>
    <row r="334">
      <c r="B334" s="48"/>
      <c r="D334" s="48"/>
      <c r="J334" s="395"/>
    </row>
    <row r="335">
      <c r="B335" s="48"/>
      <c r="D335" s="48"/>
      <c r="J335" s="395"/>
    </row>
    <row r="336">
      <c r="B336" s="48"/>
      <c r="D336" s="48"/>
      <c r="J336" s="395"/>
    </row>
    <row r="337">
      <c r="B337" s="48"/>
      <c r="D337" s="48"/>
      <c r="J337" s="395"/>
    </row>
    <row r="338">
      <c r="B338" s="48"/>
      <c r="D338" s="48"/>
      <c r="J338" s="395"/>
    </row>
    <row r="339">
      <c r="B339" s="48"/>
      <c r="D339" s="48"/>
      <c r="J339" s="395"/>
    </row>
    <row r="340">
      <c r="B340" s="48"/>
      <c r="D340" s="48"/>
      <c r="J340" s="395"/>
    </row>
    <row r="341">
      <c r="B341" s="48"/>
      <c r="D341" s="48"/>
      <c r="J341" s="395"/>
    </row>
    <row r="342">
      <c r="B342" s="48"/>
      <c r="D342" s="48"/>
      <c r="J342" s="395"/>
    </row>
    <row r="343">
      <c r="B343" s="48"/>
      <c r="D343" s="48"/>
      <c r="J343" s="395"/>
    </row>
    <row r="344">
      <c r="B344" s="48"/>
      <c r="D344" s="48"/>
      <c r="J344" s="395"/>
    </row>
    <row r="345">
      <c r="B345" s="48"/>
      <c r="D345" s="48"/>
      <c r="J345" s="395"/>
    </row>
    <row r="346">
      <c r="B346" s="48"/>
      <c r="D346" s="48"/>
      <c r="J346" s="395"/>
    </row>
    <row r="347">
      <c r="B347" s="48"/>
      <c r="D347" s="48"/>
      <c r="J347" s="395"/>
    </row>
    <row r="348">
      <c r="B348" s="48"/>
      <c r="D348" s="48"/>
      <c r="J348" s="395"/>
    </row>
    <row r="349">
      <c r="B349" s="48"/>
      <c r="D349" s="48"/>
      <c r="J349" s="395"/>
    </row>
    <row r="350">
      <c r="B350" s="48"/>
      <c r="D350" s="48"/>
      <c r="J350" s="395"/>
    </row>
    <row r="351">
      <c r="B351" s="48"/>
      <c r="D351" s="48"/>
      <c r="J351" s="395"/>
    </row>
    <row r="352">
      <c r="B352" s="48"/>
      <c r="D352" s="48"/>
      <c r="J352" s="395"/>
    </row>
    <row r="353">
      <c r="B353" s="48"/>
      <c r="D353" s="48"/>
      <c r="J353" s="395"/>
    </row>
    <row r="354">
      <c r="B354" s="48"/>
      <c r="D354" s="48"/>
      <c r="J354" s="395"/>
    </row>
    <row r="355">
      <c r="B355" s="48"/>
      <c r="D355" s="48"/>
      <c r="J355" s="395"/>
    </row>
    <row r="356">
      <c r="B356" s="48"/>
      <c r="D356" s="48"/>
      <c r="J356" s="395"/>
    </row>
    <row r="357">
      <c r="B357" s="48"/>
      <c r="D357" s="48"/>
      <c r="J357" s="395"/>
    </row>
    <row r="358">
      <c r="B358" s="48"/>
      <c r="D358" s="48"/>
      <c r="J358" s="395"/>
    </row>
    <row r="359">
      <c r="B359" s="48"/>
      <c r="D359" s="48"/>
      <c r="J359" s="395"/>
    </row>
    <row r="360">
      <c r="B360" s="48"/>
      <c r="D360" s="48"/>
      <c r="J360" s="395"/>
    </row>
    <row r="361">
      <c r="B361" s="48"/>
      <c r="D361" s="48"/>
      <c r="J361" s="395"/>
    </row>
    <row r="362">
      <c r="B362" s="48"/>
      <c r="D362" s="48"/>
      <c r="J362" s="395"/>
    </row>
    <row r="363">
      <c r="B363" s="48"/>
      <c r="D363" s="48"/>
      <c r="J363" s="395"/>
    </row>
    <row r="364">
      <c r="B364" s="48"/>
      <c r="D364" s="48"/>
      <c r="J364" s="395"/>
    </row>
    <row r="365">
      <c r="B365" s="48"/>
      <c r="D365" s="48"/>
      <c r="J365" s="395"/>
    </row>
    <row r="366">
      <c r="B366" s="48"/>
      <c r="D366" s="48"/>
      <c r="J366" s="395"/>
    </row>
    <row r="367">
      <c r="B367" s="48"/>
      <c r="D367" s="48"/>
      <c r="J367" s="395"/>
    </row>
    <row r="368">
      <c r="B368" s="48"/>
      <c r="D368" s="48"/>
      <c r="J368" s="395"/>
    </row>
    <row r="369">
      <c r="B369" s="48"/>
      <c r="D369" s="48"/>
      <c r="J369" s="395"/>
    </row>
    <row r="370">
      <c r="B370" s="48"/>
      <c r="D370" s="48"/>
      <c r="J370" s="395"/>
    </row>
    <row r="371">
      <c r="B371" s="48"/>
      <c r="D371" s="48"/>
      <c r="J371" s="395"/>
    </row>
    <row r="372">
      <c r="B372" s="48"/>
      <c r="D372" s="48"/>
      <c r="J372" s="395"/>
    </row>
    <row r="373">
      <c r="B373" s="48"/>
      <c r="D373" s="48"/>
      <c r="J373" s="395"/>
    </row>
    <row r="374">
      <c r="B374" s="48"/>
      <c r="D374" s="48"/>
      <c r="J374" s="395"/>
    </row>
    <row r="375">
      <c r="B375" s="48"/>
      <c r="D375" s="48"/>
      <c r="J375" s="395"/>
    </row>
    <row r="376">
      <c r="B376" s="48"/>
      <c r="D376" s="48"/>
      <c r="J376" s="395"/>
    </row>
    <row r="377">
      <c r="B377" s="48"/>
      <c r="D377" s="48"/>
      <c r="J377" s="395"/>
    </row>
    <row r="378">
      <c r="B378" s="48"/>
      <c r="D378" s="48"/>
      <c r="J378" s="395"/>
    </row>
    <row r="379">
      <c r="B379" s="48"/>
      <c r="D379" s="48"/>
      <c r="J379" s="395"/>
    </row>
    <row r="380">
      <c r="B380" s="48"/>
      <c r="D380" s="48"/>
      <c r="J380" s="395"/>
    </row>
    <row r="381">
      <c r="B381" s="48"/>
      <c r="D381" s="48"/>
      <c r="J381" s="395"/>
    </row>
    <row r="382">
      <c r="B382" s="48"/>
      <c r="D382" s="48"/>
      <c r="J382" s="395"/>
    </row>
    <row r="383">
      <c r="B383" s="48"/>
      <c r="D383" s="48"/>
      <c r="J383" s="395"/>
    </row>
    <row r="384">
      <c r="B384" s="48"/>
      <c r="D384" s="48"/>
      <c r="J384" s="395"/>
    </row>
    <row r="385">
      <c r="B385" s="48"/>
      <c r="D385" s="48"/>
      <c r="J385" s="395"/>
    </row>
    <row r="386">
      <c r="B386" s="48"/>
      <c r="D386" s="48"/>
      <c r="J386" s="395"/>
    </row>
    <row r="387">
      <c r="B387" s="48"/>
      <c r="D387" s="48"/>
      <c r="J387" s="395"/>
    </row>
    <row r="388">
      <c r="B388" s="48"/>
      <c r="D388" s="48"/>
      <c r="J388" s="395"/>
    </row>
    <row r="389">
      <c r="B389" s="48"/>
      <c r="D389" s="48"/>
      <c r="J389" s="395"/>
    </row>
    <row r="390">
      <c r="B390" s="48"/>
      <c r="D390" s="48"/>
      <c r="J390" s="395"/>
    </row>
    <row r="391">
      <c r="B391" s="48"/>
      <c r="D391" s="48"/>
      <c r="J391" s="395"/>
    </row>
    <row r="392">
      <c r="B392" s="48"/>
      <c r="D392" s="48"/>
      <c r="J392" s="395"/>
    </row>
    <row r="393">
      <c r="B393" s="48"/>
      <c r="D393" s="48"/>
      <c r="J393" s="395"/>
    </row>
    <row r="394">
      <c r="B394" s="48"/>
      <c r="D394" s="48"/>
      <c r="J394" s="395"/>
    </row>
    <row r="395">
      <c r="B395" s="48"/>
      <c r="D395" s="48"/>
      <c r="J395" s="395"/>
    </row>
    <row r="396">
      <c r="B396" s="48"/>
      <c r="D396" s="48"/>
      <c r="J396" s="395"/>
    </row>
    <row r="397">
      <c r="B397" s="48"/>
      <c r="D397" s="48"/>
      <c r="J397" s="395"/>
    </row>
    <row r="398">
      <c r="B398" s="48"/>
      <c r="D398" s="48"/>
      <c r="J398" s="395"/>
    </row>
    <row r="399">
      <c r="B399" s="48"/>
      <c r="D399" s="48"/>
      <c r="J399" s="395"/>
    </row>
    <row r="400">
      <c r="B400" s="48"/>
      <c r="D400" s="48"/>
      <c r="J400" s="395"/>
    </row>
    <row r="401">
      <c r="B401" s="48"/>
      <c r="D401" s="48"/>
      <c r="J401" s="395"/>
    </row>
    <row r="402">
      <c r="B402" s="48"/>
      <c r="D402" s="48"/>
      <c r="J402" s="395"/>
    </row>
    <row r="403">
      <c r="B403" s="48"/>
      <c r="D403" s="48"/>
      <c r="J403" s="395"/>
    </row>
    <row r="404">
      <c r="B404" s="48"/>
      <c r="D404" s="48"/>
      <c r="J404" s="395"/>
    </row>
    <row r="405">
      <c r="B405" s="48"/>
      <c r="D405" s="48"/>
      <c r="J405" s="395"/>
    </row>
    <row r="406">
      <c r="B406" s="48"/>
      <c r="D406" s="48"/>
      <c r="J406" s="395"/>
    </row>
    <row r="407">
      <c r="B407" s="48"/>
      <c r="D407" s="48"/>
      <c r="J407" s="395"/>
    </row>
    <row r="408">
      <c r="B408" s="48"/>
      <c r="D408" s="48"/>
      <c r="J408" s="395"/>
    </row>
    <row r="409">
      <c r="B409" s="48"/>
      <c r="D409" s="48"/>
      <c r="J409" s="395"/>
    </row>
    <row r="410">
      <c r="B410" s="48"/>
      <c r="D410" s="48"/>
      <c r="J410" s="395"/>
    </row>
    <row r="411">
      <c r="B411" s="48"/>
      <c r="D411" s="48"/>
      <c r="J411" s="395"/>
    </row>
    <row r="412">
      <c r="B412" s="48"/>
      <c r="D412" s="48"/>
      <c r="J412" s="395"/>
    </row>
    <row r="413">
      <c r="B413" s="48"/>
      <c r="D413" s="48"/>
      <c r="J413" s="395"/>
    </row>
    <row r="414">
      <c r="B414" s="48"/>
      <c r="D414" s="48"/>
      <c r="J414" s="395"/>
    </row>
    <row r="415">
      <c r="B415" s="48"/>
      <c r="D415" s="48"/>
      <c r="J415" s="395"/>
    </row>
    <row r="416">
      <c r="B416" s="48"/>
      <c r="D416" s="48"/>
      <c r="J416" s="395"/>
    </row>
    <row r="417">
      <c r="B417" s="48"/>
      <c r="D417" s="48"/>
      <c r="J417" s="395"/>
    </row>
    <row r="418">
      <c r="B418" s="48"/>
      <c r="D418" s="48"/>
      <c r="J418" s="395"/>
    </row>
    <row r="419">
      <c r="B419" s="48"/>
      <c r="D419" s="48"/>
      <c r="J419" s="395"/>
    </row>
    <row r="420">
      <c r="B420" s="48"/>
      <c r="D420" s="48"/>
      <c r="J420" s="395"/>
    </row>
    <row r="421">
      <c r="B421" s="48"/>
      <c r="D421" s="48"/>
      <c r="J421" s="395"/>
    </row>
    <row r="422">
      <c r="B422" s="48"/>
      <c r="D422" s="48"/>
      <c r="J422" s="395"/>
    </row>
    <row r="423">
      <c r="B423" s="48"/>
      <c r="D423" s="48"/>
      <c r="J423" s="395"/>
    </row>
    <row r="424">
      <c r="B424" s="48"/>
      <c r="D424" s="48"/>
      <c r="J424" s="395"/>
    </row>
    <row r="425">
      <c r="B425" s="48"/>
      <c r="D425" s="48"/>
      <c r="J425" s="395"/>
    </row>
    <row r="426">
      <c r="B426" s="48"/>
      <c r="D426" s="48"/>
      <c r="J426" s="395"/>
    </row>
    <row r="427">
      <c r="B427" s="48"/>
      <c r="D427" s="48"/>
      <c r="J427" s="395"/>
    </row>
    <row r="428">
      <c r="B428" s="48"/>
      <c r="D428" s="48"/>
      <c r="J428" s="395"/>
    </row>
    <row r="429">
      <c r="B429" s="48"/>
      <c r="D429" s="48"/>
      <c r="J429" s="395"/>
    </row>
    <row r="430">
      <c r="B430" s="48"/>
      <c r="D430" s="48"/>
      <c r="J430" s="395"/>
    </row>
    <row r="431">
      <c r="B431" s="48"/>
      <c r="D431" s="48"/>
      <c r="J431" s="395"/>
    </row>
    <row r="432">
      <c r="B432" s="48"/>
      <c r="D432" s="48"/>
      <c r="J432" s="395"/>
    </row>
    <row r="433">
      <c r="B433" s="48"/>
      <c r="D433" s="48"/>
      <c r="J433" s="395"/>
    </row>
    <row r="434">
      <c r="B434" s="48"/>
      <c r="D434" s="48"/>
      <c r="J434" s="395"/>
    </row>
    <row r="435">
      <c r="B435" s="48"/>
      <c r="D435" s="48"/>
      <c r="J435" s="395"/>
    </row>
    <row r="436">
      <c r="B436" s="48"/>
      <c r="D436" s="48"/>
      <c r="J436" s="395"/>
    </row>
    <row r="437">
      <c r="B437" s="48"/>
      <c r="D437" s="48"/>
      <c r="J437" s="395"/>
    </row>
    <row r="438">
      <c r="B438" s="48"/>
      <c r="D438" s="48"/>
      <c r="J438" s="395"/>
    </row>
    <row r="439">
      <c r="B439" s="48"/>
      <c r="D439" s="48"/>
      <c r="J439" s="395"/>
    </row>
    <row r="440">
      <c r="B440" s="48"/>
      <c r="D440" s="48"/>
      <c r="J440" s="395"/>
    </row>
    <row r="441">
      <c r="B441" s="48"/>
      <c r="D441" s="48"/>
      <c r="J441" s="395"/>
    </row>
    <row r="442">
      <c r="B442" s="48"/>
      <c r="D442" s="48"/>
      <c r="J442" s="395"/>
    </row>
    <row r="443">
      <c r="B443" s="48"/>
      <c r="D443" s="48"/>
      <c r="J443" s="395"/>
    </row>
    <row r="444">
      <c r="B444" s="48"/>
      <c r="D444" s="48"/>
      <c r="J444" s="395"/>
    </row>
    <row r="445">
      <c r="B445" s="48"/>
      <c r="D445" s="48"/>
      <c r="J445" s="395"/>
    </row>
    <row r="446">
      <c r="B446" s="48"/>
      <c r="D446" s="48"/>
      <c r="J446" s="395"/>
    </row>
    <row r="447">
      <c r="B447" s="48"/>
      <c r="D447" s="48"/>
      <c r="J447" s="395"/>
    </row>
    <row r="448">
      <c r="B448" s="48"/>
      <c r="D448" s="48"/>
      <c r="J448" s="395"/>
    </row>
    <row r="449">
      <c r="B449" s="48"/>
      <c r="D449" s="48"/>
      <c r="J449" s="395"/>
    </row>
    <row r="450">
      <c r="B450" s="48"/>
      <c r="D450" s="48"/>
      <c r="J450" s="395"/>
    </row>
    <row r="451">
      <c r="B451" s="48"/>
      <c r="D451" s="48"/>
      <c r="J451" s="395"/>
    </row>
    <row r="452">
      <c r="B452" s="48"/>
      <c r="D452" s="48"/>
      <c r="J452" s="395"/>
    </row>
    <row r="453">
      <c r="B453" s="48"/>
      <c r="D453" s="48"/>
      <c r="J453" s="395"/>
    </row>
    <row r="454">
      <c r="B454" s="48"/>
      <c r="D454" s="48"/>
      <c r="J454" s="395"/>
    </row>
    <row r="455">
      <c r="B455" s="48"/>
      <c r="D455" s="48"/>
      <c r="J455" s="395"/>
    </row>
    <row r="456">
      <c r="B456" s="48"/>
      <c r="D456" s="48"/>
      <c r="J456" s="395"/>
    </row>
    <row r="457">
      <c r="B457" s="48"/>
      <c r="D457" s="48"/>
      <c r="J457" s="395"/>
    </row>
    <row r="458">
      <c r="B458" s="48"/>
      <c r="D458" s="48"/>
      <c r="J458" s="395"/>
    </row>
    <row r="459">
      <c r="B459" s="48"/>
      <c r="D459" s="48"/>
      <c r="J459" s="395"/>
    </row>
    <row r="460">
      <c r="B460" s="48"/>
      <c r="D460" s="48"/>
      <c r="J460" s="395"/>
    </row>
    <row r="461">
      <c r="B461" s="48"/>
      <c r="D461" s="48"/>
      <c r="J461" s="395"/>
    </row>
    <row r="462">
      <c r="B462" s="48"/>
      <c r="D462" s="48"/>
      <c r="J462" s="395"/>
    </row>
    <row r="463">
      <c r="B463" s="48"/>
      <c r="D463" s="48"/>
      <c r="J463" s="395"/>
    </row>
    <row r="464">
      <c r="B464" s="48"/>
      <c r="D464" s="48"/>
      <c r="J464" s="395"/>
    </row>
    <row r="465">
      <c r="B465" s="48"/>
      <c r="D465" s="48"/>
      <c r="J465" s="395"/>
    </row>
    <row r="466">
      <c r="B466" s="48"/>
      <c r="D466" s="48"/>
      <c r="J466" s="395"/>
    </row>
    <row r="467">
      <c r="B467" s="48"/>
      <c r="D467" s="48"/>
      <c r="J467" s="395"/>
    </row>
    <row r="468">
      <c r="B468" s="48"/>
      <c r="D468" s="48"/>
      <c r="J468" s="395"/>
    </row>
    <row r="469">
      <c r="B469" s="48"/>
      <c r="D469" s="48"/>
      <c r="J469" s="395"/>
    </row>
    <row r="470">
      <c r="B470" s="48"/>
      <c r="D470" s="48"/>
      <c r="J470" s="395"/>
    </row>
    <row r="471">
      <c r="B471" s="48"/>
      <c r="D471" s="48"/>
      <c r="J471" s="395"/>
    </row>
    <row r="472">
      <c r="B472" s="48"/>
      <c r="D472" s="48"/>
      <c r="J472" s="395"/>
    </row>
    <row r="473">
      <c r="B473" s="48"/>
      <c r="D473" s="48"/>
      <c r="J473" s="395"/>
    </row>
    <row r="474">
      <c r="B474" s="48"/>
      <c r="D474" s="48"/>
      <c r="J474" s="395"/>
    </row>
    <row r="475">
      <c r="B475" s="48"/>
      <c r="D475" s="48"/>
      <c r="J475" s="395"/>
    </row>
    <row r="476">
      <c r="B476" s="48"/>
      <c r="D476" s="48"/>
      <c r="J476" s="395"/>
    </row>
    <row r="477">
      <c r="B477" s="48"/>
      <c r="D477" s="48"/>
      <c r="J477" s="395"/>
    </row>
    <row r="478">
      <c r="B478" s="48"/>
      <c r="D478" s="48"/>
      <c r="J478" s="395"/>
    </row>
    <row r="479">
      <c r="B479" s="48"/>
      <c r="D479" s="48"/>
      <c r="J479" s="395"/>
    </row>
    <row r="480">
      <c r="B480" s="48"/>
      <c r="D480" s="48"/>
      <c r="J480" s="395"/>
    </row>
    <row r="481">
      <c r="B481" s="48"/>
      <c r="D481" s="48"/>
      <c r="J481" s="395"/>
    </row>
    <row r="482">
      <c r="B482" s="48"/>
      <c r="D482" s="48"/>
      <c r="J482" s="395"/>
    </row>
    <row r="483">
      <c r="B483" s="48"/>
      <c r="D483" s="48"/>
      <c r="J483" s="395"/>
    </row>
    <row r="484">
      <c r="B484" s="48"/>
      <c r="D484" s="48"/>
      <c r="J484" s="395"/>
    </row>
    <row r="485">
      <c r="B485" s="48"/>
      <c r="D485" s="48"/>
      <c r="J485" s="395"/>
    </row>
    <row r="486">
      <c r="B486" s="48"/>
      <c r="D486" s="48"/>
      <c r="J486" s="395"/>
    </row>
    <row r="487">
      <c r="B487" s="48"/>
      <c r="D487" s="48"/>
      <c r="J487" s="395"/>
    </row>
    <row r="488">
      <c r="B488" s="48"/>
      <c r="D488" s="48"/>
      <c r="J488" s="395"/>
    </row>
    <row r="489">
      <c r="B489" s="48"/>
      <c r="D489" s="48"/>
      <c r="J489" s="395"/>
    </row>
    <row r="490">
      <c r="B490" s="48"/>
      <c r="D490" s="48"/>
      <c r="J490" s="395"/>
    </row>
    <row r="491">
      <c r="B491" s="48"/>
      <c r="D491" s="48"/>
      <c r="J491" s="395"/>
    </row>
    <row r="492">
      <c r="B492" s="48"/>
      <c r="D492" s="48"/>
      <c r="J492" s="395"/>
    </row>
    <row r="493">
      <c r="B493" s="48"/>
      <c r="D493" s="48"/>
      <c r="J493" s="395"/>
    </row>
    <row r="494">
      <c r="B494" s="48"/>
      <c r="D494" s="48"/>
      <c r="J494" s="395"/>
    </row>
    <row r="495">
      <c r="B495" s="48"/>
      <c r="D495" s="48"/>
      <c r="J495" s="395"/>
    </row>
    <row r="496">
      <c r="B496" s="48"/>
      <c r="D496" s="48"/>
      <c r="J496" s="395"/>
    </row>
    <row r="497">
      <c r="B497" s="48"/>
      <c r="D497" s="48"/>
      <c r="J497" s="395"/>
    </row>
    <row r="498">
      <c r="B498" s="48"/>
      <c r="D498" s="48"/>
      <c r="J498" s="395"/>
    </row>
    <row r="499">
      <c r="B499" s="48"/>
      <c r="D499" s="48"/>
      <c r="J499" s="395"/>
    </row>
    <row r="500">
      <c r="B500" s="48"/>
      <c r="D500" s="48"/>
      <c r="J500" s="395"/>
    </row>
    <row r="501">
      <c r="B501" s="48"/>
      <c r="D501" s="48"/>
      <c r="J501" s="395"/>
    </row>
    <row r="502">
      <c r="B502" s="48"/>
      <c r="D502" s="48"/>
      <c r="J502" s="395"/>
    </row>
    <row r="503">
      <c r="B503" s="48"/>
      <c r="D503" s="48"/>
      <c r="J503" s="395"/>
    </row>
    <row r="504">
      <c r="B504" s="48"/>
      <c r="D504" s="48"/>
      <c r="J504" s="395"/>
    </row>
    <row r="505">
      <c r="B505" s="48"/>
      <c r="D505" s="48"/>
      <c r="J505" s="395"/>
    </row>
    <row r="506">
      <c r="B506" s="48"/>
      <c r="D506" s="48"/>
      <c r="J506" s="395"/>
    </row>
    <row r="507">
      <c r="B507" s="48"/>
      <c r="D507" s="48"/>
      <c r="J507" s="395"/>
    </row>
    <row r="508">
      <c r="B508" s="48"/>
      <c r="D508" s="48"/>
      <c r="J508" s="395"/>
    </row>
    <row r="509">
      <c r="B509" s="48"/>
      <c r="D509" s="48"/>
      <c r="J509" s="395"/>
    </row>
    <row r="510">
      <c r="B510" s="48"/>
      <c r="D510" s="48"/>
      <c r="J510" s="395"/>
    </row>
    <row r="511">
      <c r="B511" s="48"/>
      <c r="D511" s="48"/>
      <c r="J511" s="395"/>
    </row>
    <row r="512">
      <c r="B512" s="48"/>
      <c r="D512" s="48"/>
      <c r="J512" s="395"/>
    </row>
    <row r="513">
      <c r="B513" s="48"/>
      <c r="D513" s="48"/>
      <c r="J513" s="395"/>
    </row>
    <row r="514">
      <c r="B514" s="48"/>
      <c r="D514" s="48"/>
      <c r="J514" s="395"/>
    </row>
    <row r="515">
      <c r="B515" s="48"/>
      <c r="D515" s="48"/>
      <c r="J515" s="395"/>
    </row>
    <row r="516">
      <c r="B516" s="48"/>
      <c r="D516" s="48"/>
      <c r="J516" s="395"/>
    </row>
    <row r="517">
      <c r="B517" s="48"/>
      <c r="D517" s="48"/>
      <c r="J517" s="395"/>
    </row>
    <row r="518">
      <c r="B518" s="48"/>
      <c r="D518" s="48"/>
      <c r="J518" s="395"/>
    </row>
    <row r="519">
      <c r="B519" s="48"/>
      <c r="D519" s="48"/>
      <c r="J519" s="395"/>
    </row>
    <row r="520">
      <c r="B520" s="48"/>
      <c r="D520" s="48"/>
      <c r="J520" s="395"/>
    </row>
    <row r="521">
      <c r="B521" s="48"/>
      <c r="D521" s="48"/>
      <c r="J521" s="395"/>
    </row>
    <row r="522">
      <c r="B522" s="48"/>
      <c r="D522" s="48"/>
      <c r="J522" s="395"/>
    </row>
    <row r="523">
      <c r="B523" s="48"/>
      <c r="D523" s="48"/>
      <c r="J523" s="395"/>
    </row>
    <row r="524">
      <c r="B524" s="48"/>
      <c r="D524" s="48"/>
      <c r="J524" s="395"/>
    </row>
    <row r="525">
      <c r="B525" s="48"/>
      <c r="D525" s="48"/>
      <c r="J525" s="395"/>
    </row>
    <row r="526">
      <c r="B526" s="48"/>
      <c r="D526" s="48"/>
      <c r="J526" s="395"/>
    </row>
    <row r="527">
      <c r="B527" s="48"/>
      <c r="D527" s="48"/>
      <c r="J527" s="395"/>
    </row>
    <row r="528">
      <c r="B528" s="48"/>
      <c r="D528" s="48"/>
      <c r="J528" s="395"/>
    </row>
    <row r="529">
      <c r="B529" s="48"/>
      <c r="D529" s="48"/>
      <c r="J529" s="395"/>
    </row>
    <row r="530">
      <c r="B530" s="48"/>
      <c r="D530" s="48"/>
      <c r="J530" s="395"/>
    </row>
    <row r="531">
      <c r="B531" s="48"/>
      <c r="D531" s="48"/>
      <c r="J531" s="395"/>
    </row>
    <row r="532">
      <c r="B532" s="48"/>
      <c r="D532" s="48"/>
      <c r="J532" s="395"/>
    </row>
    <row r="533">
      <c r="B533" s="48"/>
      <c r="D533" s="48"/>
      <c r="J533" s="395"/>
    </row>
    <row r="534">
      <c r="B534" s="48"/>
      <c r="D534" s="48"/>
      <c r="J534" s="395"/>
    </row>
    <row r="535">
      <c r="B535" s="48"/>
      <c r="D535" s="48"/>
      <c r="J535" s="395"/>
    </row>
    <row r="536">
      <c r="B536" s="48"/>
      <c r="D536" s="48"/>
      <c r="J536" s="395"/>
    </row>
    <row r="537">
      <c r="B537" s="48"/>
      <c r="D537" s="48"/>
      <c r="J537" s="395"/>
    </row>
    <row r="538">
      <c r="B538" s="48"/>
      <c r="D538" s="48"/>
      <c r="J538" s="395"/>
    </row>
    <row r="539">
      <c r="B539" s="48"/>
      <c r="D539" s="48"/>
      <c r="J539" s="395"/>
    </row>
    <row r="540">
      <c r="B540" s="48"/>
      <c r="D540" s="48"/>
      <c r="J540" s="395"/>
    </row>
    <row r="541">
      <c r="B541" s="48"/>
      <c r="D541" s="48"/>
      <c r="J541" s="395"/>
    </row>
    <row r="542">
      <c r="B542" s="48"/>
      <c r="D542" s="48"/>
      <c r="J542" s="395"/>
    </row>
    <row r="543">
      <c r="B543" s="48"/>
      <c r="D543" s="48"/>
      <c r="J543" s="395"/>
    </row>
    <row r="544">
      <c r="B544" s="48"/>
      <c r="D544" s="48"/>
      <c r="J544" s="395"/>
    </row>
    <row r="545">
      <c r="B545" s="48"/>
      <c r="D545" s="48"/>
      <c r="J545" s="395"/>
    </row>
    <row r="546">
      <c r="B546" s="48"/>
      <c r="D546" s="48"/>
      <c r="J546" s="395"/>
    </row>
    <row r="547">
      <c r="B547" s="48"/>
      <c r="D547" s="48"/>
      <c r="J547" s="395"/>
    </row>
    <row r="548">
      <c r="B548" s="48"/>
      <c r="D548" s="48"/>
      <c r="J548" s="395"/>
    </row>
    <row r="549">
      <c r="B549" s="48"/>
      <c r="D549" s="48"/>
      <c r="J549" s="395"/>
    </row>
    <row r="550">
      <c r="B550" s="48"/>
      <c r="D550" s="48"/>
      <c r="J550" s="395"/>
    </row>
    <row r="551">
      <c r="B551" s="48"/>
      <c r="D551" s="48"/>
      <c r="J551" s="395"/>
    </row>
    <row r="552">
      <c r="B552" s="48"/>
      <c r="D552" s="48"/>
      <c r="J552" s="395"/>
    </row>
    <row r="553">
      <c r="B553" s="48"/>
      <c r="D553" s="48"/>
      <c r="J553" s="395"/>
    </row>
    <row r="554">
      <c r="B554" s="48"/>
      <c r="D554" s="48"/>
      <c r="J554" s="395"/>
    </row>
    <row r="555">
      <c r="B555" s="48"/>
      <c r="D555" s="48"/>
      <c r="J555" s="395"/>
    </row>
    <row r="556">
      <c r="B556" s="48"/>
      <c r="D556" s="48"/>
      <c r="J556" s="395"/>
    </row>
    <row r="557">
      <c r="B557" s="48"/>
      <c r="D557" s="48"/>
      <c r="J557" s="395"/>
    </row>
    <row r="558">
      <c r="B558" s="48"/>
      <c r="D558" s="48"/>
      <c r="J558" s="395"/>
    </row>
    <row r="559">
      <c r="B559" s="48"/>
      <c r="D559" s="48"/>
      <c r="J559" s="395"/>
    </row>
    <row r="560">
      <c r="B560" s="48"/>
      <c r="D560" s="48"/>
      <c r="J560" s="395"/>
    </row>
    <row r="561">
      <c r="B561" s="48"/>
      <c r="D561" s="48"/>
      <c r="J561" s="395"/>
    </row>
    <row r="562">
      <c r="B562" s="48"/>
      <c r="D562" s="48"/>
      <c r="J562" s="395"/>
    </row>
    <row r="563">
      <c r="B563" s="48"/>
      <c r="D563" s="48"/>
      <c r="J563" s="395"/>
    </row>
    <row r="564">
      <c r="B564" s="48"/>
      <c r="D564" s="48"/>
      <c r="J564" s="395"/>
    </row>
    <row r="565">
      <c r="B565" s="48"/>
      <c r="D565" s="48"/>
      <c r="J565" s="395"/>
    </row>
    <row r="566">
      <c r="B566" s="48"/>
      <c r="D566" s="48"/>
      <c r="J566" s="395"/>
    </row>
    <row r="567">
      <c r="B567" s="48"/>
      <c r="D567" s="48"/>
      <c r="J567" s="395"/>
    </row>
    <row r="568">
      <c r="B568" s="48"/>
      <c r="D568" s="48"/>
      <c r="J568" s="395"/>
    </row>
    <row r="569">
      <c r="B569" s="48"/>
      <c r="D569" s="48"/>
      <c r="J569" s="395"/>
    </row>
    <row r="570">
      <c r="B570" s="48"/>
      <c r="D570" s="48"/>
      <c r="J570" s="395"/>
    </row>
    <row r="571">
      <c r="B571" s="48"/>
      <c r="D571" s="48"/>
      <c r="J571" s="395"/>
    </row>
    <row r="572">
      <c r="B572" s="48"/>
      <c r="D572" s="48"/>
      <c r="J572" s="395"/>
    </row>
    <row r="573">
      <c r="B573" s="48"/>
      <c r="D573" s="48"/>
      <c r="J573" s="395"/>
    </row>
    <row r="574">
      <c r="B574" s="48"/>
      <c r="D574" s="48"/>
      <c r="J574" s="395"/>
    </row>
    <row r="575">
      <c r="B575" s="48"/>
      <c r="D575" s="48"/>
      <c r="J575" s="395"/>
    </row>
    <row r="576">
      <c r="B576" s="48"/>
      <c r="D576" s="48"/>
      <c r="J576" s="395"/>
    </row>
    <row r="577">
      <c r="B577" s="48"/>
      <c r="D577" s="48"/>
      <c r="J577" s="395"/>
    </row>
    <row r="578">
      <c r="B578" s="48"/>
      <c r="D578" s="48"/>
      <c r="J578" s="395"/>
    </row>
    <row r="579">
      <c r="B579" s="48"/>
      <c r="D579" s="48"/>
      <c r="J579" s="395"/>
    </row>
    <row r="580">
      <c r="B580" s="48"/>
      <c r="D580" s="48"/>
      <c r="J580" s="395"/>
    </row>
    <row r="581">
      <c r="B581" s="48"/>
      <c r="D581" s="48"/>
      <c r="J581" s="395"/>
    </row>
    <row r="582">
      <c r="B582" s="48"/>
      <c r="D582" s="48"/>
      <c r="J582" s="395"/>
    </row>
    <row r="583">
      <c r="B583" s="48"/>
      <c r="D583" s="48"/>
      <c r="J583" s="395"/>
    </row>
    <row r="584">
      <c r="B584" s="48"/>
      <c r="D584" s="48"/>
      <c r="J584" s="395"/>
    </row>
    <row r="585">
      <c r="B585" s="48"/>
      <c r="D585" s="48"/>
      <c r="J585" s="395"/>
    </row>
    <row r="586">
      <c r="B586" s="48"/>
      <c r="D586" s="48"/>
      <c r="J586" s="395"/>
    </row>
    <row r="587">
      <c r="B587" s="48"/>
      <c r="D587" s="48"/>
      <c r="J587" s="395"/>
    </row>
    <row r="588">
      <c r="B588" s="48"/>
      <c r="D588" s="48"/>
      <c r="J588" s="395"/>
    </row>
    <row r="589">
      <c r="B589" s="48"/>
      <c r="D589" s="48"/>
      <c r="J589" s="395"/>
    </row>
    <row r="590">
      <c r="B590" s="48"/>
      <c r="D590" s="48"/>
      <c r="J590" s="395"/>
    </row>
    <row r="591">
      <c r="B591" s="48"/>
      <c r="D591" s="48"/>
      <c r="J591" s="395"/>
    </row>
    <row r="592">
      <c r="B592" s="48"/>
      <c r="D592" s="48"/>
      <c r="J592" s="395"/>
    </row>
    <row r="593">
      <c r="B593" s="48"/>
      <c r="D593" s="48"/>
      <c r="J593" s="395"/>
    </row>
    <row r="594">
      <c r="B594" s="48"/>
      <c r="D594" s="48"/>
      <c r="J594" s="395"/>
    </row>
    <row r="595">
      <c r="B595" s="48"/>
      <c r="D595" s="48"/>
      <c r="J595" s="395"/>
    </row>
    <row r="596">
      <c r="B596" s="48"/>
      <c r="D596" s="48"/>
      <c r="J596" s="395"/>
    </row>
    <row r="597">
      <c r="B597" s="48"/>
      <c r="D597" s="48"/>
      <c r="J597" s="395"/>
    </row>
    <row r="598">
      <c r="B598" s="48"/>
      <c r="D598" s="48"/>
      <c r="J598" s="395"/>
    </row>
    <row r="599">
      <c r="B599" s="48"/>
      <c r="D599" s="48"/>
      <c r="J599" s="395"/>
    </row>
    <row r="600">
      <c r="B600" s="48"/>
      <c r="D600" s="48"/>
      <c r="J600" s="395"/>
    </row>
    <row r="601">
      <c r="B601" s="48"/>
      <c r="D601" s="48"/>
      <c r="J601" s="395"/>
    </row>
    <row r="602">
      <c r="B602" s="48"/>
      <c r="D602" s="48"/>
      <c r="J602" s="395"/>
    </row>
    <row r="603">
      <c r="B603" s="48"/>
      <c r="D603" s="48"/>
      <c r="J603" s="395"/>
    </row>
    <row r="604">
      <c r="B604" s="48"/>
      <c r="D604" s="48"/>
      <c r="J604" s="395"/>
    </row>
    <row r="605">
      <c r="B605" s="48"/>
      <c r="D605" s="48"/>
      <c r="J605" s="395"/>
    </row>
    <row r="606">
      <c r="B606" s="48"/>
      <c r="D606" s="48"/>
      <c r="J606" s="395"/>
    </row>
    <row r="607">
      <c r="B607" s="48"/>
      <c r="D607" s="48"/>
      <c r="J607" s="395"/>
    </row>
    <row r="608">
      <c r="B608" s="48"/>
      <c r="D608" s="48"/>
      <c r="J608" s="395"/>
    </row>
    <row r="609">
      <c r="B609" s="48"/>
      <c r="D609" s="48"/>
      <c r="J609" s="395"/>
    </row>
    <row r="610">
      <c r="B610" s="48"/>
      <c r="D610" s="48"/>
      <c r="J610" s="395"/>
    </row>
    <row r="611">
      <c r="B611" s="48"/>
      <c r="D611" s="48"/>
      <c r="J611" s="395"/>
    </row>
    <row r="612">
      <c r="B612" s="48"/>
      <c r="D612" s="48"/>
      <c r="J612" s="395"/>
    </row>
    <row r="613">
      <c r="B613" s="48"/>
      <c r="D613" s="48"/>
      <c r="J613" s="395"/>
    </row>
    <row r="614">
      <c r="B614" s="48"/>
      <c r="D614" s="48"/>
      <c r="J614" s="395"/>
    </row>
    <row r="615">
      <c r="B615" s="48"/>
      <c r="D615" s="48"/>
      <c r="J615" s="395"/>
    </row>
    <row r="616">
      <c r="B616" s="48"/>
      <c r="D616" s="48"/>
      <c r="J616" s="395"/>
    </row>
    <row r="617">
      <c r="B617" s="48"/>
      <c r="D617" s="48"/>
      <c r="J617" s="395"/>
    </row>
    <row r="618">
      <c r="B618" s="48"/>
      <c r="D618" s="48"/>
      <c r="J618" s="395"/>
    </row>
    <row r="619">
      <c r="B619" s="48"/>
      <c r="D619" s="48"/>
      <c r="J619" s="395"/>
    </row>
    <row r="620">
      <c r="B620" s="48"/>
      <c r="D620" s="48"/>
      <c r="J620" s="395"/>
    </row>
    <row r="621">
      <c r="B621" s="48"/>
      <c r="D621" s="48"/>
      <c r="J621" s="395"/>
    </row>
    <row r="622">
      <c r="B622" s="48"/>
      <c r="D622" s="48"/>
      <c r="J622" s="395"/>
    </row>
    <row r="623">
      <c r="B623" s="48"/>
      <c r="D623" s="48"/>
      <c r="J623" s="395"/>
    </row>
    <row r="624">
      <c r="B624" s="48"/>
      <c r="D624" s="48"/>
      <c r="J624" s="395"/>
    </row>
    <row r="625">
      <c r="B625" s="48"/>
      <c r="D625" s="48"/>
      <c r="J625" s="395"/>
    </row>
    <row r="626">
      <c r="B626" s="48"/>
      <c r="D626" s="48"/>
      <c r="J626" s="395"/>
    </row>
    <row r="627">
      <c r="B627" s="48"/>
      <c r="D627" s="48"/>
      <c r="J627" s="395"/>
    </row>
    <row r="628">
      <c r="B628" s="48"/>
      <c r="D628" s="48"/>
      <c r="J628" s="395"/>
    </row>
    <row r="629">
      <c r="B629" s="48"/>
      <c r="D629" s="48"/>
      <c r="J629" s="395"/>
    </row>
    <row r="630">
      <c r="B630" s="48"/>
      <c r="D630" s="48"/>
      <c r="J630" s="395"/>
    </row>
    <row r="631">
      <c r="B631" s="48"/>
      <c r="D631" s="48"/>
      <c r="J631" s="395"/>
    </row>
    <row r="632">
      <c r="B632" s="48"/>
      <c r="D632" s="48"/>
      <c r="J632" s="395"/>
    </row>
    <row r="633">
      <c r="B633" s="48"/>
      <c r="D633" s="48"/>
      <c r="J633" s="395"/>
    </row>
    <row r="634">
      <c r="B634" s="48"/>
      <c r="D634" s="48"/>
      <c r="J634" s="395"/>
    </row>
    <row r="635">
      <c r="B635" s="48"/>
      <c r="D635" s="48"/>
      <c r="J635" s="395"/>
    </row>
    <row r="636">
      <c r="B636" s="48"/>
      <c r="D636" s="48"/>
      <c r="J636" s="395"/>
    </row>
    <row r="637">
      <c r="B637" s="48"/>
      <c r="D637" s="48"/>
      <c r="J637" s="395"/>
    </row>
    <row r="638">
      <c r="B638" s="48"/>
      <c r="D638" s="48"/>
      <c r="J638" s="395"/>
    </row>
    <row r="639">
      <c r="B639" s="48"/>
      <c r="D639" s="48"/>
      <c r="J639" s="395"/>
    </row>
    <row r="640">
      <c r="B640" s="48"/>
      <c r="D640" s="48"/>
      <c r="J640" s="395"/>
    </row>
    <row r="641">
      <c r="B641" s="48"/>
      <c r="D641" s="48"/>
      <c r="J641" s="395"/>
    </row>
    <row r="642">
      <c r="B642" s="48"/>
      <c r="D642" s="48"/>
      <c r="J642" s="395"/>
    </row>
    <row r="643">
      <c r="B643" s="48"/>
      <c r="D643" s="48"/>
      <c r="J643" s="395"/>
    </row>
    <row r="644">
      <c r="B644" s="48"/>
      <c r="D644" s="48"/>
      <c r="J644" s="395"/>
    </row>
    <row r="645">
      <c r="B645" s="48"/>
      <c r="D645" s="48"/>
      <c r="J645" s="395"/>
    </row>
    <row r="646">
      <c r="B646" s="48"/>
      <c r="D646" s="48"/>
      <c r="J646" s="395"/>
    </row>
    <row r="647">
      <c r="B647" s="48"/>
      <c r="D647" s="48"/>
      <c r="J647" s="395"/>
    </row>
    <row r="648">
      <c r="B648" s="48"/>
      <c r="D648" s="48"/>
      <c r="J648" s="395"/>
    </row>
    <row r="649">
      <c r="B649" s="48"/>
      <c r="D649" s="48"/>
      <c r="J649" s="395"/>
    </row>
    <row r="650">
      <c r="B650" s="48"/>
      <c r="D650" s="48"/>
      <c r="J650" s="395"/>
    </row>
    <row r="651">
      <c r="B651" s="48"/>
      <c r="D651" s="48"/>
      <c r="J651" s="395"/>
    </row>
    <row r="652">
      <c r="B652" s="48"/>
      <c r="D652" s="48"/>
      <c r="J652" s="395"/>
    </row>
    <row r="653">
      <c r="B653" s="48"/>
      <c r="D653" s="48"/>
      <c r="J653" s="395"/>
    </row>
    <row r="654">
      <c r="B654" s="48"/>
      <c r="D654" s="48"/>
      <c r="J654" s="395"/>
    </row>
    <row r="655">
      <c r="B655" s="48"/>
      <c r="D655" s="48"/>
      <c r="J655" s="395"/>
    </row>
    <row r="656">
      <c r="B656" s="48"/>
      <c r="D656" s="48"/>
      <c r="J656" s="395"/>
    </row>
    <row r="657">
      <c r="B657" s="48"/>
      <c r="D657" s="48"/>
      <c r="J657" s="395"/>
    </row>
    <row r="658">
      <c r="B658" s="48"/>
      <c r="D658" s="48"/>
      <c r="J658" s="395"/>
    </row>
    <row r="659">
      <c r="B659" s="48"/>
      <c r="D659" s="48"/>
      <c r="J659" s="395"/>
    </row>
    <row r="660">
      <c r="B660" s="48"/>
      <c r="D660" s="48"/>
      <c r="J660" s="395"/>
    </row>
    <row r="661">
      <c r="B661" s="48"/>
      <c r="D661" s="48"/>
      <c r="J661" s="395"/>
    </row>
    <row r="662">
      <c r="B662" s="48"/>
      <c r="D662" s="48"/>
      <c r="J662" s="395"/>
    </row>
    <row r="663">
      <c r="B663" s="48"/>
      <c r="D663" s="48"/>
      <c r="J663" s="395"/>
    </row>
    <row r="664">
      <c r="B664" s="48"/>
      <c r="D664" s="48"/>
      <c r="J664" s="395"/>
    </row>
    <row r="665">
      <c r="B665" s="48"/>
      <c r="D665" s="48"/>
      <c r="J665" s="395"/>
    </row>
    <row r="666">
      <c r="B666" s="48"/>
      <c r="D666" s="48"/>
      <c r="J666" s="395"/>
    </row>
    <row r="667">
      <c r="B667" s="48"/>
      <c r="D667" s="48"/>
      <c r="J667" s="395"/>
    </row>
    <row r="668">
      <c r="B668" s="48"/>
      <c r="D668" s="48"/>
      <c r="J668" s="395"/>
    </row>
    <row r="669">
      <c r="B669" s="48"/>
      <c r="D669" s="48"/>
      <c r="J669" s="395"/>
    </row>
    <row r="670">
      <c r="B670" s="48"/>
      <c r="D670" s="48"/>
      <c r="J670" s="395"/>
    </row>
    <row r="671">
      <c r="B671" s="48"/>
      <c r="D671" s="48"/>
      <c r="J671" s="395"/>
    </row>
    <row r="672">
      <c r="B672" s="48"/>
      <c r="D672" s="48"/>
      <c r="J672" s="395"/>
    </row>
    <row r="673">
      <c r="B673" s="48"/>
      <c r="D673" s="48"/>
      <c r="J673" s="395"/>
    </row>
    <row r="674">
      <c r="B674" s="48"/>
      <c r="D674" s="48"/>
      <c r="J674" s="395"/>
    </row>
    <row r="675">
      <c r="B675" s="48"/>
      <c r="D675" s="48"/>
      <c r="J675" s="395"/>
    </row>
    <row r="676">
      <c r="B676" s="48"/>
      <c r="D676" s="48"/>
      <c r="J676" s="395"/>
    </row>
    <row r="677">
      <c r="B677" s="48"/>
      <c r="D677" s="48"/>
      <c r="J677" s="395"/>
    </row>
    <row r="678">
      <c r="B678" s="48"/>
      <c r="D678" s="48"/>
      <c r="J678" s="395"/>
    </row>
    <row r="679">
      <c r="B679" s="48"/>
      <c r="D679" s="48"/>
      <c r="J679" s="395"/>
    </row>
    <row r="680">
      <c r="B680" s="48"/>
      <c r="D680" s="48"/>
      <c r="J680" s="395"/>
    </row>
    <row r="681">
      <c r="B681" s="48"/>
      <c r="D681" s="48"/>
      <c r="J681" s="395"/>
    </row>
    <row r="682">
      <c r="B682" s="48"/>
      <c r="D682" s="48"/>
      <c r="J682" s="395"/>
    </row>
    <row r="683">
      <c r="B683" s="48"/>
      <c r="D683" s="48"/>
      <c r="J683" s="395"/>
    </row>
    <row r="684">
      <c r="B684" s="48"/>
      <c r="D684" s="48"/>
      <c r="J684" s="395"/>
    </row>
    <row r="685">
      <c r="B685" s="48"/>
      <c r="D685" s="48"/>
      <c r="J685" s="395"/>
    </row>
    <row r="686">
      <c r="B686" s="48"/>
      <c r="D686" s="48"/>
      <c r="J686" s="395"/>
    </row>
    <row r="687">
      <c r="B687" s="48"/>
      <c r="D687" s="48"/>
      <c r="J687" s="395"/>
    </row>
    <row r="688">
      <c r="B688" s="48"/>
      <c r="D688" s="48"/>
      <c r="J688" s="395"/>
    </row>
    <row r="689">
      <c r="B689" s="48"/>
      <c r="D689" s="48"/>
      <c r="J689" s="395"/>
    </row>
    <row r="690">
      <c r="B690" s="48"/>
      <c r="D690" s="48"/>
      <c r="J690" s="395"/>
    </row>
    <row r="691">
      <c r="B691" s="48"/>
      <c r="D691" s="48"/>
      <c r="J691" s="395"/>
    </row>
    <row r="692">
      <c r="B692" s="48"/>
      <c r="D692" s="48"/>
      <c r="J692" s="395"/>
    </row>
    <row r="693">
      <c r="B693" s="48"/>
      <c r="D693" s="48"/>
      <c r="J693" s="395"/>
    </row>
    <row r="694">
      <c r="B694" s="48"/>
      <c r="D694" s="48"/>
      <c r="J694" s="395"/>
    </row>
    <row r="695">
      <c r="B695" s="48"/>
      <c r="D695" s="48"/>
      <c r="J695" s="395"/>
    </row>
    <row r="696">
      <c r="B696" s="48"/>
      <c r="D696" s="48"/>
      <c r="J696" s="395"/>
    </row>
    <row r="697">
      <c r="B697" s="48"/>
      <c r="D697" s="48"/>
      <c r="J697" s="395"/>
    </row>
    <row r="698">
      <c r="B698" s="48"/>
      <c r="D698" s="48"/>
      <c r="J698" s="395"/>
    </row>
    <row r="699">
      <c r="B699" s="48"/>
      <c r="D699" s="48"/>
      <c r="J699" s="395"/>
    </row>
    <row r="700">
      <c r="B700" s="48"/>
      <c r="D700" s="48"/>
      <c r="J700" s="395"/>
    </row>
    <row r="701">
      <c r="B701" s="48"/>
      <c r="D701" s="48"/>
      <c r="J701" s="395"/>
    </row>
    <row r="702">
      <c r="B702" s="48"/>
      <c r="D702" s="48"/>
      <c r="J702" s="395"/>
    </row>
    <row r="703">
      <c r="B703" s="48"/>
      <c r="D703" s="48"/>
      <c r="J703" s="395"/>
    </row>
    <row r="704">
      <c r="B704" s="48"/>
      <c r="D704" s="48"/>
      <c r="J704" s="395"/>
    </row>
    <row r="705">
      <c r="B705" s="48"/>
      <c r="D705" s="48"/>
      <c r="J705" s="395"/>
    </row>
    <row r="706">
      <c r="B706" s="48"/>
      <c r="D706" s="48"/>
      <c r="J706" s="395"/>
    </row>
    <row r="707">
      <c r="B707" s="48"/>
      <c r="D707" s="48"/>
      <c r="J707" s="395"/>
    </row>
    <row r="708">
      <c r="B708" s="48"/>
      <c r="D708" s="48"/>
      <c r="J708" s="395"/>
    </row>
    <row r="709">
      <c r="B709" s="48"/>
      <c r="D709" s="48"/>
      <c r="J709" s="395"/>
    </row>
    <row r="710">
      <c r="B710" s="48"/>
      <c r="D710" s="48"/>
      <c r="J710" s="395"/>
    </row>
    <row r="711">
      <c r="B711" s="48"/>
      <c r="D711" s="48"/>
      <c r="J711" s="395"/>
    </row>
    <row r="712">
      <c r="B712" s="48"/>
      <c r="D712" s="48"/>
      <c r="J712" s="395"/>
    </row>
    <row r="713">
      <c r="B713" s="48"/>
      <c r="D713" s="48"/>
      <c r="J713" s="395"/>
    </row>
    <row r="714">
      <c r="B714" s="48"/>
      <c r="D714" s="48"/>
      <c r="J714" s="395"/>
    </row>
    <row r="715">
      <c r="B715" s="48"/>
      <c r="D715" s="48"/>
      <c r="J715" s="395"/>
    </row>
    <row r="716">
      <c r="B716" s="48"/>
      <c r="D716" s="48"/>
      <c r="J716" s="395"/>
    </row>
    <row r="717">
      <c r="B717" s="48"/>
      <c r="D717" s="48"/>
      <c r="J717" s="395"/>
    </row>
    <row r="718">
      <c r="B718" s="48"/>
      <c r="D718" s="48"/>
      <c r="J718" s="395"/>
    </row>
    <row r="719">
      <c r="B719" s="48"/>
      <c r="D719" s="48"/>
      <c r="J719" s="395"/>
    </row>
    <row r="720">
      <c r="B720" s="48"/>
      <c r="D720" s="48"/>
      <c r="J720" s="395"/>
    </row>
    <row r="721">
      <c r="B721" s="48"/>
      <c r="D721" s="48"/>
      <c r="J721" s="395"/>
    </row>
    <row r="722">
      <c r="B722" s="48"/>
      <c r="D722" s="48"/>
      <c r="J722" s="395"/>
    </row>
    <row r="723">
      <c r="B723" s="48"/>
      <c r="D723" s="48"/>
      <c r="J723" s="395"/>
    </row>
    <row r="724">
      <c r="B724" s="48"/>
      <c r="D724" s="48"/>
      <c r="J724" s="395"/>
    </row>
    <row r="725">
      <c r="B725" s="48"/>
      <c r="D725" s="48"/>
      <c r="J725" s="395"/>
    </row>
    <row r="726">
      <c r="B726" s="48"/>
      <c r="D726" s="48"/>
      <c r="J726" s="395"/>
    </row>
    <row r="727">
      <c r="B727" s="48"/>
      <c r="D727" s="48"/>
      <c r="J727" s="395"/>
    </row>
    <row r="728">
      <c r="B728" s="48"/>
      <c r="D728" s="48"/>
      <c r="J728" s="395"/>
    </row>
    <row r="729">
      <c r="B729" s="48"/>
      <c r="D729" s="48"/>
      <c r="J729" s="395"/>
    </row>
    <row r="730">
      <c r="B730" s="48"/>
      <c r="D730" s="48"/>
      <c r="J730" s="395"/>
    </row>
    <row r="731">
      <c r="B731" s="48"/>
      <c r="D731" s="48"/>
      <c r="J731" s="395"/>
    </row>
    <row r="732">
      <c r="B732" s="48"/>
      <c r="D732" s="48"/>
      <c r="J732" s="395"/>
    </row>
    <row r="733">
      <c r="B733" s="48"/>
      <c r="D733" s="48"/>
      <c r="J733" s="395"/>
    </row>
    <row r="734">
      <c r="B734" s="48"/>
      <c r="D734" s="48"/>
      <c r="J734" s="395"/>
    </row>
    <row r="735">
      <c r="B735" s="48"/>
      <c r="D735" s="48"/>
      <c r="J735" s="395"/>
    </row>
    <row r="736">
      <c r="B736" s="48"/>
      <c r="D736" s="48"/>
      <c r="J736" s="395"/>
    </row>
    <row r="737">
      <c r="B737" s="48"/>
      <c r="D737" s="48"/>
      <c r="J737" s="395"/>
    </row>
    <row r="738">
      <c r="B738" s="48"/>
      <c r="D738" s="48"/>
      <c r="J738" s="395"/>
    </row>
    <row r="739">
      <c r="B739" s="48"/>
      <c r="D739" s="48"/>
      <c r="J739" s="395"/>
    </row>
    <row r="740">
      <c r="B740" s="48"/>
      <c r="D740" s="48"/>
      <c r="J740" s="395"/>
    </row>
    <row r="741">
      <c r="B741" s="48"/>
      <c r="D741" s="48"/>
      <c r="J741" s="395"/>
    </row>
    <row r="742">
      <c r="B742" s="48"/>
      <c r="D742" s="48"/>
      <c r="J742" s="395"/>
    </row>
    <row r="743">
      <c r="B743" s="48"/>
      <c r="D743" s="48"/>
      <c r="J743" s="395"/>
    </row>
    <row r="744">
      <c r="B744" s="48"/>
      <c r="D744" s="48"/>
      <c r="J744" s="395"/>
    </row>
    <row r="745">
      <c r="B745" s="48"/>
      <c r="D745" s="48"/>
      <c r="J745" s="395"/>
    </row>
    <row r="746">
      <c r="B746" s="48"/>
      <c r="D746" s="48"/>
      <c r="J746" s="395"/>
    </row>
    <row r="747">
      <c r="B747" s="48"/>
      <c r="D747" s="48"/>
      <c r="J747" s="395"/>
    </row>
    <row r="748">
      <c r="B748" s="48"/>
      <c r="D748" s="48"/>
      <c r="J748" s="395"/>
    </row>
    <row r="749">
      <c r="B749" s="48"/>
      <c r="D749" s="48"/>
      <c r="J749" s="395"/>
    </row>
    <row r="750">
      <c r="B750" s="48"/>
      <c r="D750" s="48"/>
      <c r="J750" s="395"/>
    </row>
    <row r="751">
      <c r="B751" s="48"/>
      <c r="D751" s="48"/>
      <c r="J751" s="395"/>
    </row>
    <row r="752">
      <c r="B752" s="48"/>
      <c r="D752" s="48"/>
      <c r="J752" s="395"/>
    </row>
    <row r="753">
      <c r="B753" s="48"/>
      <c r="D753" s="48"/>
      <c r="J753" s="395"/>
    </row>
    <row r="754">
      <c r="B754" s="48"/>
      <c r="D754" s="48"/>
      <c r="J754" s="395"/>
    </row>
    <row r="755">
      <c r="B755" s="48"/>
      <c r="D755" s="48"/>
      <c r="J755" s="395"/>
    </row>
    <row r="756">
      <c r="B756" s="48"/>
      <c r="D756" s="48"/>
      <c r="J756" s="395"/>
    </row>
    <row r="757">
      <c r="B757" s="48"/>
      <c r="D757" s="48"/>
      <c r="J757" s="395"/>
    </row>
    <row r="758">
      <c r="B758" s="48"/>
      <c r="D758" s="48"/>
      <c r="J758" s="395"/>
    </row>
    <row r="759">
      <c r="B759" s="48"/>
      <c r="D759" s="48"/>
      <c r="J759" s="395"/>
    </row>
    <row r="760">
      <c r="B760" s="48"/>
      <c r="D760" s="48"/>
      <c r="J760" s="395"/>
    </row>
    <row r="761">
      <c r="B761" s="48"/>
      <c r="D761" s="48"/>
      <c r="J761" s="395"/>
    </row>
    <row r="762">
      <c r="B762" s="48"/>
      <c r="D762" s="48"/>
      <c r="J762" s="395"/>
    </row>
    <row r="763">
      <c r="B763" s="48"/>
      <c r="D763" s="48"/>
      <c r="J763" s="395"/>
    </row>
    <row r="764">
      <c r="B764" s="48"/>
      <c r="D764" s="48"/>
      <c r="J764" s="395"/>
    </row>
    <row r="765">
      <c r="B765" s="48"/>
      <c r="D765" s="48"/>
      <c r="J765" s="395"/>
    </row>
    <row r="766">
      <c r="B766" s="48"/>
      <c r="D766" s="48"/>
      <c r="J766" s="395"/>
    </row>
    <row r="767">
      <c r="B767" s="48"/>
      <c r="D767" s="48"/>
      <c r="J767" s="395"/>
    </row>
    <row r="768">
      <c r="B768" s="48"/>
      <c r="D768" s="48"/>
      <c r="J768" s="395"/>
    </row>
    <row r="769">
      <c r="B769" s="48"/>
      <c r="D769" s="48"/>
      <c r="J769" s="395"/>
    </row>
    <row r="770">
      <c r="B770" s="48"/>
      <c r="D770" s="48"/>
      <c r="J770" s="395"/>
    </row>
    <row r="771">
      <c r="B771" s="48"/>
      <c r="D771" s="48"/>
      <c r="J771" s="395"/>
    </row>
    <row r="772">
      <c r="B772" s="48"/>
      <c r="D772" s="48"/>
      <c r="J772" s="395"/>
    </row>
    <row r="773">
      <c r="B773" s="48"/>
      <c r="D773" s="48"/>
      <c r="J773" s="395"/>
    </row>
    <row r="774">
      <c r="B774" s="48"/>
      <c r="D774" s="48"/>
      <c r="J774" s="395"/>
    </row>
    <row r="775">
      <c r="B775" s="48"/>
      <c r="D775" s="48"/>
      <c r="J775" s="395"/>
    </row>
    <row r="776">
      <c r="B776" s="48"/>
      <c r="D776" s="48"/>
      <c r="J776" s="395"/>
    </row>
    <row r="777">
      <c r="B777" s="48"/>
      <c r="D777" s="48"/>
      <c r="J777" s="395"/>
    </row>
    <row r="778">
      <c r="B778" s="48"/>
      <c r="D778" s="48"/>
      <c r="J778" s="395"/>
    </row>
    <row r="779">
      <c r="B779" s="48"/>
      <c r="D779" s="48"/>
      <c r="J779" s="395"/>
    </row>
    <row r="780">
      <c r="B780" s="48"/>
      <c r="D780" s="48"/>
      <c r="J780" s="395"/>
    </row>
    <row r="781">
      <c r="B781" s="48"/>
      <c r="D781" s="48"/>
      <c r="J781" s="395"/>
    </row>
    <row r="782">
      <c r="B782" s="48"/>
      <c r="D782" s="48"/>
      <c r="J782" s="395"/>
    </row>
    <row r="783">
      <c r="B783" s="48"/>
      <c r="D783" s="48"/>
      <c r="J783" s="395"/>
    </row>
    <row r="784">
      <c r="B784" s="48"/>
      <c r="D784" s="48"/>
      <c r="J784" s="395"/>
    </row>
    <row r="785">
      <c r="B785" s="48"/>
      <c r="D785" s="48"/>
      <c r="J785" s="395"/>
    </row>
    <row r="786">
      <c r="B786" s="48"/>
      <c r="D786" s="48"/>
      <c r="J786" s="395"/>
    </row>
    <row r="787">
      <c r="B787" s="48"/>
      <c r="D787" s="48"/>
      <c r="J787" s="395"/>
    </row>
    <row r="788">
      <c r="B788" s="48"/>
      <c r="D788" s="48"/>
      <c r="J788" s="395"/>
    </row>
    <row r="789">
      <c r="B789" s="48"/>
      <c r="D789" s="48"/>
      <c r="J789" s="395"/>
    </row>
    <row r="790">
      <c r="B790" s="48"/>
      <c r="D790" s="48"/>
      <c r="J790" s="395"/>
    </row>
    <row r="791">
      <c r="B791" s="48"/>
      <c r="D791" s="48"/>
      <c r="J791" s="395"/>
    </row>
    <row r="792">
      <c r="B792" s="48"/>
      <c r="D792" s="48"/>
      <c r="J792" s="395"/>
    </row>
    <row r="793">
      <c r="B793" s="48"/>
      <c r="D793" s="48"/>
      <c r="J793" s="395"/>
    </row>
    <row r="794">
      <c r="B794" s="48"/>
      <c r="D794" s="48"/>
      <c r="J794" s="395"/>
    </row>
    <row r="795">
      <c r="B795" s="48"/>
      <c r="D795" s="48"/>
      <c r="J795" s="395"/>
    </row>
    <row r="796">
      <c r="B796" s="48"/>
      <c r="D796" s="48"/>
      <c r="J796" s="395"/>
    </row>
    <row r="797">
      <c r="B797" s="48"/>
      <c r="D797" s="48"/>
      <c r="J797" s="395"/>
    </row>
    <row r="798">
      <c r="B798" s="48"/>
      <c r="D798" s="48"/>
      <c r="J798" s="395"/>
    </row>
    <row r="799">
      <c r="B799" s="48"/>
      <c r="D799" s="48"/>
      <c r="J799" s="395"/>
    </row>
    <row r="800">
      <c r="B800" s="48"/>
      <c r="D800" s="48"/>
      <c r="J800" s="395"/>
    </row>
    <row r="801">
      <c r="B801" s="48"/>
      <c r="D801" s="48"/>
      <c r="J801" s="395"/>
    </row>
    <row r="802">
      <c r="B802" s="48"/>
      <c r="D802" s="48"/>
      <c r="J802" s="395"/>
    </row>
    <row r="803">
      <c r="B803" s="48"/>
      <c r="D803" s="48"/>
      <c r="J803" s="395"/>
    </row>
    <row r="804">
      <c r="B804" s="48"/>
      <c r="D804" s="48"/>
      <c r="J804" s="395"/>
    </row>
    <row r="805">
      <c r="B805" s="48"/>
      <c r="D805" s="48"/>
      <c r="J805" s="395"/>
    </row>
    <row r="806">
      <c r="B806" s="48"/>
      <c r="D806" s="48"/>
      <c r="J806" s="395"/>
    </row>
    <row r="807">
      <c r="B807" s="48"/>
      <c r="D807" s="48"/>
      <c r="J807" s="395"/>
    </row>
    <row r="808">
      <c r="B808" s="48"/>
      <c r="D808" s="48"/>
      <c r="J808" s="395"/>
    </row>
    <row r="809">
      <c r="B809" s="48"/>
      <c r="D809" s="48"/>
      <c r="J809" s="395"/>
    </row>
    <row r="810">
      <c r="B810" s="48"/>
      <c r="D810" s="48"/>
      <c r="J810" s="395"/>
    </row>
    <row r="811">
      <c r="B811" s="48"/>
      <c r="D811" s="48"/>
      <c r="J811" s="395"/>
    </row>
    <row r="812">
      <c r="B812" s="48"/>
      <c r="D812" s="48"/>
      <c r="J812" s="395"/>
    </row>
    <row r="813">
      <c r="B813" s="48"/>
      <c r="D813" s="48"/>
      <c r="J813" s="395"/>
    </row>
    <row r="814">
      <c r="B814" s="48"/>
      <c r="D814" s="48"/>
      <c r="J814" s="395"/>
    </row>
    <row r="815">
      <c r="B815" s="48"/>
      <c r="D815" s="48"/>
      <c r="J815" s="395"/>
    </row>
    <row r="816">
      <c r="B816" s="48"/>
      <c r="D816" s="48"/>
      <c r="J816" s="395"/>
    </row>
    <row r="817">
      <c r="B817" s="48"/>
      <c r="D817" s="48"/>
      <c r="J817" s="395"/>
    </row>
    <row r="818">
      <c r="B818" s="48"/>
      <c r="D818" s="48"/>
      <c r="J818" s="395"/>
    </row>
    <row r="819">
      <c r="B819" s="48"/>
      <c r="D819" s="48"/>
      <c r="J819" s="395"/>
    </row>
    <row r="820">
      <c r="B820" s="48"/>
      <c r="D820" s="48"/>
      <c r="J820" s="395"/>
    </row>
    <row r="821">
      <c r="B821" s="48"/>
      <c r="D821" s="48"/>
      <c r="J821" s="395"/>
    </row>
    <row r="822">
      <c r="B822" s="48"/>
      <c r="D822" s="48"/>
      <c r="J822" s="395"/>
    </row>
    <row r="823">
      <c r="B823" s="48"/>
      <c r="D823" s="48"/>
      <c r="J823" s="395"/>
    </row>
    <row r="824">
      <c r="B824" s="48"/>
      <c r="D824" s="48"/>
      <c r="J824" s="395"/>
    </row>
    <row r="825">
      <c r="B825" s="48"/>
      <c r="D825" s="48"/>
      <c r="J825" s="395"/>
    </row>
    <row r="826">
      <c r="B826" s="48"/>
      <c r="D826" s="48"/>
      <c r="J826" s="395"/>
    </row>
    <row r="827">
      <c r="B827" s="48"/>
      <c r="D827" s="48"/>
      <c r="J827" s="395"/>
    </row>
    <row r="828">
      <c r="B828" s="48"/>
      <c r="D828" s="48"/>
      <c r="J828" s="395"/>
    </row>
    <row r="829">
      <c r="B829" s="48"/>
      <c r="D829" s="48"/>
      <c r="J829" s="395"/>
    </row>
    <row r="830">
      <c r="B830" s="48"/>
      <c r="D830" s="48"/>
      <c r="J830" s="395"/>
    </row>
    <row r="831">
      <c r="B831" s="48"/>
      <c r="D831" s="48"/>
      <c r="J831" s="395"/>
    </row>
    <row r="832">
      <c r="B832" s="48"/>
      <c r="D832" s="48"/>
      <c r="J832" s="395"/>
    </row>
    <row r="833">
      <c r="B833" s="48"/>
      <c r="D833" s="48"/>
      <c r="J833" s="395"/>
    </row>
    <row r="834">
      <c r="B834" s="48"/>
      <c r="D834" s="48"/>
      <c r="J834" s="395"/>
    </row>
    <row r="835">
      <c r="B835" s="48"/>
      <c r="D835" s="48"/>
      <c r="J835" s="395"/>
    </row>
    <row r="836">
      <c r="B836" s="48"/>
      <c r="D836" s="48"/>
      <c r="J836" s="395"/>
    </row>
    <row r="837">
      <c r="B837" s="48"/>
      <c r="D837" s="48"/>
      <c r="J837" s="395"/>
    </row>
    <row r="838">
      <c r="B838" s="48"/>
      <c r="D838" s="48"/>
      <c r="J838" s="395"/>
    </row>
    <row r="839">
      <c r="B839" s="48"/>
      <c r="D839" s="48"/>
      <c r="J839" s="395"/>
    </row>
    <row r="840">
      <c r="B840" s="48"/>
      <c r="D840" s="48"/>
      <c r="J840" s="395"/>
    </row>
    <row r="841">
      <c r="B841" s="48"/>
      <c r="D841" s="48"/>
      <c r="J841" s="395"/>
    </row>
    <row r="842">
      <c r="B842" s="48"/>
      <c r="D842" s="48"/>
      <c r="J842" s="395"/>
    </row>
    <row r="843">
      <c r="B843" s="48"/>
      <c r="D843" s="48"/>
      <c r="J843" s="395"/>
    </row>
    <row r="844">
      <c r="B844" s="48"/>
      <c r="D844" s="48"/>
      <c r="J844" s="395"/>
    </row>
    <row r="845">
      <c r="B845" s="48"/>
      <c r="D845" s="48"/>
      <c r="J845" s="395"/>
    </row>
    <row r="846">
      <c r="B846" s="48"/>
      <c r="D846" s="48"/>
      <c r="J846" s="395"/>
    </row>
    <row r="847">
      <c r="B847" s="48"/>
      <c r="D847" s="48"/>
      <c r="J847" s="395"/>
    </row>
    <row r="848">
      <c r="B848" s="48"/>
      <c r="D848" s="48"/>
      <c r="J848" s="395"/>
    </row>
    <row r="849">
      <c r="B849" s="48"/>
      <c r="D849" s="48"/>
      <c r="J849" s="395"/>
    </row>
    <row r="850">
      <c r="B850" s="48"/>
      <c r="D850" s="48"/>
      <c r="J850" s="395"/>
    </row>
    <row r="851">
      <c r="B851" s="48"/>
      <c r="D851" s="48"/>
      <c r="J851" s="395"/>
    </row>
    <row r="852">
      <c r="B852" s="48"/>
      <c r="D852" s="48"/>
      <c r="J852" s="395"/>
    </row>
    <row r="853">
      <c r="B853" s="48"/>
      <c r="D853" s="48"/>
      <c r="J853" s="395"/>
    </row>
    <row r="854">
      <c r="B854" s="48"/>
      <c r="D854" s="48"/>
      <c r="J854" s="395"/>
    </row>
    <row r="855">
      <c r="B855" s="48"/>
      <c r="D855" s="48"/>
      <c r="J855" s="395"/>
    </row>
    <row r="856">
      <c r="B856" s="48"/>
      <c r="D856" s="48"/>
      <c r="J856" s="395"/>
    </row>
    <row r="857">
      <c r="B857" s="48"/>
      <c r="D857" s="48"/>
      <c r="J857" s="395"/>
    </row>
    <row r="858">
      <c r="B858" s="48"/>
      <c r="D858" s="48"/>
      <c r="J858" s="395"/>
    </row>
    <row r="859">
      <c r="B859" s="48"/>
      <c r="D859" s="48"/>
      <c r="J859" s="395"/>
    </row>
    <row r="860">
      <c r="B860" s="48"/>
      <c r="D860" s="48"/>
      <c r="J860" s="395"/>
    </row>
    <row r="861">
      <c r="B861" s="48"/>
      <c r="D861" s="48"/>
      <c r="J861" s="395"/>
    </row>
    <row r="862">
      <c r="B862" s="48"/>
      <c r="D862" s="48"/>
      <c r="J862" s="395"/>
    </row>
    <row r="863">
      <c r="B863" s="48"/>
      <c r="D863" s="48"/>
      <c r="J863" s="395"/>
    </row>
    <row r="864">
      <c r="B864" s="48"/>
      <c r="D864" s="48"/>
      <c r="J864" s="395"/>
    </row>
    <row r="865">
      <c r="B865" s="48"/>
      <c r="D865" s="48"/>
      <c r="J865" s="395"/>
    </row>
    <row r="866">
      <c r="B866" s="48"/>
      <c r="D866" s="48"/>
      <c r="J866" s="395"/>
    </row>
    <row r="867">
      <c r="B867" s="48"/>
      <c r="D867" s="48"/>
      <c r="J867" s="395"/>
    </row>
    <row r="868">
      <c r="B868" s="48"/>
      <c r="D868" s="48"/>
      <c r="J868" s="395"/>
    </row>
    <row r="869">
      <c r="B869" s="48"/>
      <c r="D869" s="48"/>
      <c r="J869" s="395"/>
    </row>
    <row r="870">
      <c r="B870" s="48"/>
      <c r="D870" s="48"/>
      <c r="J870" s="395"/>
    </row>
    <row r="871">
      <c r="B871" s="48"/>
      <c r="D871" s="48"/>
      <c r="J871" s="395"/>
    </row>
    <row r="872">
      <c r="B872" s="48"/>
      <c r="D872" s="48"/>
      <c r="J872" s="395"/>
    </row>
    <row r="873">
      <c r="B873" s="48"/>
      <c r="D873" s="48"/>
      <c r="J873" s="395"/>
    </row>
    <row r="874">
      <c r="B874" s="48"/>
      <c r="D874" s="48"/>
      <c r="J874" s="395"/>
    </row>
    <row r="875">
      <c r="B875" s="48"/>
      <c r="D875" s="48"/>
      <c r="J875" s="395"/>
    </row>
    <row r="876">
      <c r="B876" s="48"/>
      <c r="D876" s="48"/>
      <c r="J876" s="395"/>
    </row>
    <row r="877">
      <c r="B877" s="48"/>
      <c r="D877" s="48"/>
      <c r="J877" s="395"/>
    </row>
    <row r="878">
      <c r="B878" s="48"/>
      <c r="D878" s="48"/>
      <c r="J878" s="395"/>
    </row>
    <row r="879">
      <c r="B879" s="48"/>
      <c r="D879" s="48"/>
      <c r="J879" s="395"/>
    </row>
    <row r="880">
      <c r="B880" s="48"/>
      <c r="D880" s="48"/>
      <c r="J880" s="395"/>
    </row>
    <row r="881">
      <c r="B881" s="48"/>
      <c r="D881" s="48"/>
      <c r="J881" s="395"/>
    </row>
    <row r="882">
      <c r="B882" s="48"/>
      <c r="D882" s="48"/>
      <c r="J882" s="395"/>
    </row>
    <row r="883">
      <c r="B883" s="48"/>
      <c r="D883" s="48"/>
      <c r="J883" s="395"/>
    </row>
    <row r="884">
      <c r="B884" s="48"/>
      <c r="D884" s="48"/>
      <c r="J884" s="395"/>
    </row>
    <row r="885">
      <c r="B885" s="48"/>
      <c r="D885" s="48"/>
      <c r="J885" s="395"/>
    </row>
    <row r="886">
      <c r="B886" s="48"/>
      <c r="D886" s="48"/>
      <c r="J886" s="395"/>
    </row>
    <row r="887">
      <c r="B887" s="48"/>
      <c r="D887" s="48"/>
      <c r="J887" s="395"/>
    </row>
    <row r="888">
      <c r="B888" s="48"/>
      <c r="D888" s="48"/>
      <c r="J888" s="395"/>
    </row>
    <row r="889">
      <c r="B889" s="48"/>
      <c r="D889" s="48"/>
      <c r="J889" s="395"/>
    </row>
    <row r="890">
      <c r="B890" s="48"/>
      <c r="D890" s="48"/>
      <c r="J890" s="395"/>
    </row>
    <row r="891">
      <c r="B891" s="48"/>
      <c r="D891" s="48"/>
      <c r="J891" s="395"/>
    </row>
    <row r="892">
      <c r="B892" s="48"/>
      <c r="D892" s="48"/>
      <c r="J892" s="395"/>
    </row>
    <row r="893">
      <c r="B893" s="48"/>
      <c r="D893" s="48"/>
      <c r="J893" s="395"/>
    </row>
    <row r="894">
      <c r="B894" s="48"/>
      <c r="D894" s="48"/>
      <c r="J894" s="395"/>
    </row>
    <row r="895">
      <c r="B895" s="48"/>
      <c r="D895" s="48"/>
      <c r="J895" s="395"/>
    </row>
    <row r="896">
      <c r="B896" s="48"/>
      <c r="D896" s="48"/>
      <c r="J896" s="395"/>
    </row>
    <row r="897">
      <c r="B897" s="48"/>
      <c r="D897" s="48"/>
      <c r="J897" s="395"/>
    </row>
    <row r="898">
      <c r="B898" s="48"/>
      <c r="D898" s="48"/>
      <c r="J898" s="395"/>
    </row>
    <row r="899">
      <c r="B899" s="48"/>
      <c r="D899" s="48"/>
      <c r="J899" s="395"/>
    </row>
    <row r="900">
      <c r="B900" s="48"/>
      <c r="D900" s="48"/>
      <c r="J900" s="395"/>
    </row>
    <row r="901">
      <c r="B901" s="48"/>
      <c r="D901" s="48"/>
      <c r="J901" s="395"/>
    </row>
    <row r="902">
      <c r="B902" s="48"/>
      <c r="D902" s="48"/>
      <c r="J902" s="395"/>
    </row>
    <row r="903">
      <c r="B903" s="48"/>
      <c r="D903" s="48"/>
      <c r="J903" s="395"/>
    </row>
    <row r="904">
      <c r="B904" s="48"/>
      <c r="D904" s="48"/>
      <c r="J904" s="395"/>
    </row>
    <row r="905">
      <c r="B905" s="48"/>
      <c r="D905" s="48"/>
      <c r="J905" s="395"/>
    </row>
    <row r="906">
      <c r="B906" s="48"/>
      <c r="D906" s="48"/>
      <c r="J906" s="395"/>
    </row>
    <row r="907">
      <c r="B907" s="48"/>
      <c r="D907" s="48"/>
      <c r="J907" s="395"/>
    </row>
    <row r="908">
      <c r="B908" s="48"/>
      <c r="D908" s="48"/>
      <c r="J908" s="395"/>
    </row>
    <row r="909">
      <c r="B909" s="48"/>
      <c r="D909" s="48"/>
      <c r="J909" s="395"/>
    </row>
    <row r="910">
      <c r="B910" s="48"/>
      <c r="D910" s="48"/>
      <c r="J910" s="395"/>
    </row>
    <row r="911">
      <c r="B911" s="48"/>
      <c r="D911" s="48"/>
      <c r="J911" s="395"/>
    </row>
  </sheetData>
  <mergeCells count="3">
    <mergeCell ref="A1:K1"/>
    <mergeCell ref="A2:K2"/>
    <mergeCell ref="A3:K3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4.38"/>
    <col hidden="1" min="5" max="5" width="12.63"/>
  </cols>
  <sheetData>
    <row r="1">
      <c r="A1" s="429"/>
      <c r="B1" s="430" t="s">
        <v>575</v>
      </c>
      <c r="C1" s="431" t="s">
        <v>14</v>
      </c>
      <c r="D1" s="432" t="s">
        <v>576</v>
      </c>
      <c r="E1" s="433" t="s">
        <v>577</v>
      </c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</row>
    <row r="2">
      <c r="A2" s="435" t="s">
        <v>578</v>
      </c>
      <c r="B2" s="436">
        <v>352.0</v>
      </c>
      <c r="C2" s="437">
        <v>383.73</v>
      </c>
      <c r="D2" s="437">
        <v>355.37546634958346</v>
      </c>
      <c r="E2" s="438">
        <v>356.0204901408449</v>
      </c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</row>
    <row r="3">
      <c r="A3" s="439"/>
      <c r="B3" s="437"/>
      <c r="C3" s="437"/>
      <c r="D3" s="437"/>
      <c r="E3" s="437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</row>
    <row r="4">
      <c r="A4" s="439" t="s">
        <v>579</v>
      </c>
      <c r="B4" s="437">
        <f>B2</f>
        <v>352</v>
      </c>
      <c r="C4" s="437">
        <v>383.73</v>
      </c>
      <c r="D4" s="437">
        <f t="shared" ref="D4:D6" si="1">B4</f>
        <v>352</v>
      </c>
      <c r="E4" s="438">
        <v>355.68188366632035</v>
      </c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</row>
    <row r="5">
      <c r="A5" s="440" t="s">
        <v>580</v>
      </c>
      <c r="B5" s="441">
        <v>45.3721</v>
      </c>
      <c r="C5" s="441">
        <v>48.75</v>
      </c>
      <c r="D5" s="437">
        <f t="shared" si="1"/>
        <v>45.3721</v>
      </c>
      <c r="E5" s="441">
        <v>45.3721</v>
      </c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</row>
    <row r="6">
      <c r="A6" s="440" t="s">
        <v>581</v>
      </c>
      <c r="B6" s="442">
        <v>35.99</v>
      </c>
      <c r="C6" s="441">
        <v>25.71816</v>
      </c>
      <c r="D6" s="437">
        <f t="shared" si="1"/>
        <v>35.99</v>
      </c>
      <c r="E6" s="443">
        <v>35.4045</v>
      </c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</row>
    <row r="7">
      <c r="A7" s="440" t="s">
        <v>582</v>
      </c>
      <c r="B7" s="444">
        <v>0.0</v>
      </c>
      <c r="C7" s="445">
        <v>0.0</v>
      </c>
      <c r="D7" s="445">
        <v>0.0</v>
      </c>
      <c r="E7" s="445">
        <v>0.0</v>
      </c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</row>
    <row r="8">
      <c r="A8" s="440" t="s">
        <v>583</v>
      </c>
      <c r="B8" s="437">
        <f>sum(B4:B7)</f>
        <v>433.3621</v>
      </c>
      <c r="C8" s="441">
        <v>458.19816000000003</v>
      </c>
      <c r="D8" s="441">
        <f>B8</f>
        <v>433.3621</v>
      </c>
      <c r="E8" s="443">
        <v>436.4584836663203</v>
      </c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</row>
    <row r="9">
      <c r="A9" s="429"/>
      <c r="B9" s="320"/>
      <c r="C9" s="429"/>
      <c r="D9" s="429"/>
      <c r="E9" s="429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</row>
    <row r="10">
      <c r="A10" s="440" t="s">
        <v>584</v>
      </c>
      <c r="B10" s="446">
        <v>9224.6768</v>
      </c>
      <c r="C10" s="447">
        <v>9400.0</v>
      </c>
      <c r="D10" s="448">
        <f>B10</f>
        <v>9224.6768</v>
      </c>
      <c r="E10" s="447">
        <v>9334.67</v>
      </c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</row>
    <row r="11">
      <c r="A11" s="429"/>
      <c r="B11" s="449"/>
      <c r="C11" s="429"/>
      <c r="D11" s="450"/>
      <c r="E11" s="450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</row>
    <row r="12">
      <c r="A12" s="440" t="s">
        <v>585</v>
      </c>
      <c r="B12" s="451">
        <f>B10*B8</f>
        <v>3997625.31</v>
      </c>
      <c r="C12" s="451">
        <v>4307062.704</v>
      </c>
      <c r="D12" s="448">
        <f>B12</f>
        <v>3997625.31</v>
      </c>
      <c r="E12" s="452">
        <v>4074291.934591897</v>
      </c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</row>
    <row r="13">
      <c r="A13" s="453"/>
      <c r="B13" s="320"/>
      <c r="C13" s="450"/>
      <c r="D13" s="450"/>
      <c r="E13" s="450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</row>
    <row r="14">
      <c r="A14" s="453" t="s">
        <v>586</v>
      </c>
      <c r="B14" s="451">
        <f>B12 - 59964.86     </f>
        <v>3937660.45</v>
      </c>
      <c r="C14" s="451">
        <v>4242456.76344</v>
      </c>
      <c r="D14" s="451">
        <f>D12 - E12*0.0125   </f>
        <v>3946696.661</v>
      </c>
      <c r="E14" s="451">
        <v>4031397.1023749</v>
      </c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</row>
    <row r="15">
      <c r="A15" s="454" t="s">
        <v>587</v>
      </c>
      <c r="B15" s="455">
        <v>21674.0</v>
      </c>
      <c r="C15" s="451"/>
      <c r="D15" s="451">
        <v>21674.0</v>
      </c>
      <c r="E15" s="451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</row>
    <row r="16">
      <c r="A16" s="453" t="s">
        <v>588</v>
      </c>
      <c r="B16" s="456">
        <v>31301.0</v>
      </c>
      <c r="C16" s="457"/>
      <c r="D16" s="457">
        <v>31580.0</v>
      </c>
      <c r="E16" s="457">
        <v>31580.0</v>
      </c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</row>
    <row r="17">
      <c r="A17" s="453" t="s">
        <v>137</v>
      </c>
      <c r="B17" s="458">
        <f>sum(B14:B16)</f>
        <v>3990635.45</v>
      </c>
      <c r="C17" s="458">
        <v>4242456.76344</v>
      </c>
      <c r="D17" s="458">
        <f>sum(D14:D16)</f>
        <v>3999950.661</v>
      </c>
      <c r="E17" s="458">
        <v>4044757.5555730183</v>
      </c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</row>
    <row r="18">
      <c r="A18" s="440" t="s">
        <v>589</v>
      </c>
      <c r="B18" s="451">
        <f t="shared" ref="B18:D18" si="2">B17-$C$17</f>
        <v>-251821.3136</v>
      </c>
      <c r="C18" s="451">
        <f t="shared" si="2"/>
        <v>0</v>
      </c>
      <c r="D18" s="451">
        <f t="shared" si="2"/>
        <v>-242506.1028</v>
      </c>
      <c r="E18" s="451">
        <v>-197699.20786698163</v>
      </c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</row>
    <row r="19" ht="2.25" customHeight="1">
      <c r="A19" s="459"/>
      <c r="B19" s="459">
        <v>-158090.22028883034</v>
      </c>
      <c r="C19" s="459">
        <v>0.0</v>
      </c>
      <c r="D19" s="460">
        <v>-178842.67423362844</v>
      </c>
      <c r="E19" s="460">
        <v>-291955.67880070955</v>
      </c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</row>
    <row r="20" hidden="1">
      <c r="A20" s="429"/>
      <c r="B20" s="461" t="s">
        <v>14</v>
      </c>
      <c r="C20" s="461" t="s">
        <v>18</v>
      </c>
      <c r="D20" s="462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</row>
    <row r="21" hidden="1">
      <c r="A21" s="440" t="s">
        <v>590</v>
      </c>
      <c r="B21" s="463">
        <v>0.92</v>
      </c>
      <c r="C21" s="464">
        <v>0.9170029205171168</v>
      </c>
      <c r="D21" s="462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</row>
    <row r="22" hidden="1">
      <c r="A22" s="440" t="s">
        <v>591</v>
      </c>
      <c r="B22" s="463">
        <v>0.92</v>
      </c>
      <c r="C22" s="464">
        <v>0.9238063487808345</v>
      </c>
      <c r="D22" s="465" t="s">
        <v>592</v>
      </c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</row>
    <row r="23" hidden="1">
      <c r="A23" s="434"/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</row>
    <row r="24" hidden="1">
      <c r="A24" s="465" t="s">
        <v>593</v>
      </c>
      <c r="B24" s="434"/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</row>
    <row r="25" hidden="1">
      <c r="A25" s="465" t="s">
        <v>594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</row>
    <row r="26">
      <c r="A26" s="466" t="s">
        <v>595</v>
      </c>
      <c r="B26" s="467"/>
      <c r="C26" s="467"/>
      <c r="D26" s="468">
        <f>D17-B17</f>
        <v>9315.210818</v>
      </c>
      <c r="E26" s="434"/>
      <c r="F26" s="451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</row>
    <row r="27">
      <c r="A27" s="434"/>
      <c r="B27" s="434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</row>
    <row r="28">
      <c r="A28" s="469" t="s">
        <v>596</v>
      </c>
      <c r="B28" s="470"/>
      <c r="C28" s="470"/>
      <c r="D28" s="470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</row>
    <row r="29">
      <c r="A29" s="434"/>
      <c r="B29" s="434"/>
      <c r="C29" s="434"/>
      <c r="D29" s="471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</row>
    <row r="30">
      <c r="A30" s="434"/>
      <c r="B30" s="434"/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</row>
    <row r="31">
      <c r="A31" s="434"/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</row>
    <row r="32">
      <c r="A32" s="434"/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</row>
    <row r="33">
      <c r="A33" s="434"/>
      <c r="B33" s="434"/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</row>
    <row r="34">
      <c r="A34" s="434"/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</row>
    <row r="35">
      <c r="A35" s="434"/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</row>
    <row r="36">
      <c r="A36" s="434"/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</row>
    <row r="37">
      <c r="A37" s="434"/>
      <c r="B37" s="434"/>
      <c r="C37" s="434"/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</row>
    <row r="38">
      <c r="A38" s="434"/>
      <c r="B38" s="434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</row>
    <row r="39">
      <c r="A39" s="434"/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</row>
    <row r="40">
      <c r="A40" s="434"/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</row>
    <row r="41">
      <c r="A41" s="434"/>
      <c r="B41" s="434"/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</row>
    <row r="42">
      <c r="A42" s="434"/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</row>
    <row r="43">
      <c r="A43" s="434"/>
      <c r="B43" s="434"/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</row>
    <row r="44">
      <c r="A44" s="434"/>
      <c r="B44" s="434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</row>
    <row r="45">
      <c r="A45" s="434"/>
      <c r="B45" s="434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</row>
    <row r="46">
      <c r="A46" s="434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</row>
    <row r="47">
      <c r="A47" s="434"/>
      <c r="B47" s="434"/>
      <c r="C47" s="434"/>
      <c r="D47" s="434"/>
      <c r="E47" s="434"/>
      <c r="F47" s="434"/>
      <c r="G47" s="434"/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</row>
    <row r="48">
      <c r="A48" s="434"/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</row>
    <row r="49">
      <c r="A49" s="434"/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</row>
    <row r="50">
      <c r="A50" s="434"/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</row>
    <row r="51">
      <c r="A51" s="434"/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</row>
    <row r="52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</row>
    <row r="53">
      <c r="A53" s="434"/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</row>
    <row r="54">
      <c r="A54" s="434"/>
      <c r="B54" s="434"/>
      <c r="C54" s="434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</row>
    <row r="55">
      <c r="A55" s="434"/>
      <c r="B55" s="434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</row>
    <row r="56">
      <c r="A56" s="434"/>
      <c r="B56" s="434"/>
      <c r="C56" s="434"/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</row>
    <row r="57">
      <c r="A57" s="434"/>
      <c r="B57" s="434"/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</row>
    <row r="58">
      <c r="A58" s="434"/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</row>
    <row r="59">
      <c r="A59" s="434"/>
      <c r="B59" s="434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</row>
    <row r="60">
      <c r="A60" s="434"/>
      <c r="B60" s="434"/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</row>
    <row r="61">
      <c r="A61" s="434"/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</row>
    <row r="62">
      <c r="A62" s="434"/>
      <c r="B62" s="434"/>
      <c r="C62" s="434"/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</row>
    <row r="63">
      <c r="A63" s="434"/>
      <c r="B63" s="434"/>
      <c r="C63" s="434"/>
      <c r="D63" s="434"/>
      <c r="E63" s="434"/>
      <c r="F63" s="434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</row>
    <row r="64">
      <c r="A64" s="434"/>
      <c r="B64" s="434"/>
      <c r="C64" s="434"/>
      <c r="D64" s="434"/>
      <c r="E64" s="434"/>
      <c r="F64" s="434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</row>
    <row r="65">
      <c r="A65" s="434"/>
      <c r="B65" s="434"/>
      <c r="C65" s="434"/>
      <c r="D65" s="434"/>
      <c r="E65" s="434"/>
      <c r="F65" s="434"/>
      <c r="G65" s="434"/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</row>
    <row r="66">
      <c r="A66" s="434"/>
      <c r="B66" s="434"/>
      <c r="C66" s="434"/>
      <c r="D66" s="434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</row>
    <row r="67">
      <c r="A67" s="434"/>
      <c r="B67" s="434"/>
      <c r="C67" s="434"/>
      <c r="D67" s="434"/>
      <c r="E67" s="434"/>
      <c r="F67" s="434"/>
      <c r="G67" s="434"/>
      <c r="H67" s="434"/>
      <c r="I67" s="434"/>
      <c r="J67" s="434"/>
      <c r="K67" s="434"/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</row>
    <row r="68">
      <c r="A68" s="434"/>
      <c r="B68" s="434"/>
      <c r="C68" s="434"/>
      <c r="D68" s="434"/>
      <c r="E68" s="434"/>
      <c r="F68" s="434"/>
      <c r="G68" s="434"/>
      <c r="H68" s="434"/>
      <c r="I68" s="434"/>
      <c r="J68" s="434"/>
      <c r="K68" s="434"/>
      <c r="L68" s="434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</row>
    <row r="69">
      <c r="A69" s="434"/>
      <c r="B69" s="434"/>
      <c r="C69" s="434"/>
      <c r="D69" s="434"/>
      <c r="E69" s="434"/>
      <c r="F69" s="434"/>
      <c r="G69" s="434"/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</row>
    <row r="70">
      <c r="A70" s="434"/>
      <c r="B70" s="434"/>
      <c r="C70" s="434"/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</row>
    <row r="71">
      <c r="A71" s="434"/>
      <c r="B71" s="434"/>
      <c r="C71" s="434"/>
      <c r="D71" s="434"/>
      <c r="E71" s="434"/>
      <c r="F71" s="434"/>
      <c r="G71" s="434"/>
      <c r="H71" s="434"/>
      <c r="I71" s="434"/>
      <c r="J71" s="434"/>
      <c r="K71" s="434"/>
      <c r="L71" s="434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</row>
    <row r="72">
      <c r="A72" s="434"/>
      <c r="B72" s="434"/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</row>
    <row r="73">
      <c r="A73" s="434"/>
      <c r="B73" s="434"/>
      <c r="C73" s="434"/>
      <c r="D73" s="434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</row>
    <row r="74">
      <c r="A74" s="434"/>
      <c r="B74" s="434"/>
      <c r="C74" s="434"/>
      <c r="D74" s="434"/>
      <c r="E74" s="434"/>
      <c r="F74" s="434"/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</row>
    <row r="75">
      <c r="A75" s="434"/>
      <c r="B75" s="434"/>
      <c r="C75" s="434"/>
      <c r="D75" s="434"/>
      <c r="E75" s="434"/>
      <c r="F75" s="434"/>
      <c r="G75" s="434"/>
      <c r="H75" s="434"/>
      <c r="I75" s="434"/>
      <c r="J75" s="434"/>
      <c r="K75" s="434"/>
      <c r="L75" s="434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</row>
    <row r="76">
      <c r="A76" s="434"/>
      <c r="B76" s="434"/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</row>
    <row r="77">
      <c r="A77" s="434"/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</row>
    <row r="78">
      <c r="A78" s="434"/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</row>
    <row r="79">
      <c r="A79" s="434"/>
      <c r="B79" s="434"/>
      <c r="C79" s="434"/>
      <c r="D79" s="434"/>
      <c r="E79" s="434"/>
      <c r="F79" s="434"/>
      <c r="G79" s="434"/>
      <c r="H79" s="434"/>
      <c r="I79" s="434"/>
      <c r="J79" s="434"/>
      <c r="K79" s="434"/>
      <c r="L79" s="434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</row>
    <row r="80">
      <c r="A80" s="434"/>
      <c r="B80" s="434"/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</row>
    <row r="81">
      <c r="A81" s="434"/>
      <c r="B81" s="434"/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</row>
    <row r="82">
      <c r="A82" s="434"/>
      <c r="B82" s="434"/>
      <c r="C82" s="434"/>
      <c r="D82" s="434"/>
      <c r="E82" s="434"/>
      <c r="F82" s="434"/>
      <c r="G82" s="434"/>
      <c r="H82" s="434"/>
      <c r="I82" s="434"/>
      <c r="J82" s="434"/>
      <c r="K82" s="434"/>
      <c r="L82" s="434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</row>
    <row r="83">
      <c r="A83" s="434"/>
      <c r="B83" s="434"/>
      <c r="C83" s="434"/>
      <c r="D83" s="434"/>
      <c r="E83" s="434"/>
      <c r="F83" s="434"/>
      <c r="G83" s="434"/>
      <c r="H83" s="434"/>
      <c r="I83" s="434"/>
      <c r="J83" s="434"/>
      <c r="K83" s="434"/>
      <c r="L83" s="434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</row>
    <row r="84">
      <c r="A84" s="434"/>
      <c r="B84" s="434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</row>
    <row r="85">
      <c r="A85" s="434"/>
      <c r="B85" s="434"/>
      <c r="C85" s="434"/>
      <c r="D85" s="434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</row>
    <row r="86">
      <c r="A86" s="434"/>
      <c r="B86" s="434"/>
      <c r="C86" s="434"/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</row>
    <row r="87">
      <c r="A87" s="434"/>
      <c r="B87" s="434"/>
      <c r="C87" s="434"/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</row>
    <row r="88">
      <c r="A88" s="434"/>
      <c r="B88" s="434"/>
      <c r="C88" s="434"/>
      <c r="D88" s="434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</row>
    <row r="89">
      <c r="A89" s="434"/>
      <c r="B89" s="434"/>
      <c r="C89" s="434"/>
      <c r="D89" s="434"/>
      <c r="E89" s="434"/>
      <c r="F89" s="434"/>
      <c r="G89" s="434"/>
      <c r="H89" s="434"/>
      <c r="I89" s="434"/>
      <c r="J89" s="434"/>
      <c r="K89" s="434"/>
      <c r="L89" s="434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</row>
    <row r="90">
      <c r="A90" s="434"/>
      <c r="B90" s="434"/>
      <c r="C90" s="434"/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</row>
    <row r="91">
      <c r="A91" s="434"/>
      <c r="B91" s="434"/>
      <c r="C91" s="434"/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</row>
    <row r="92">
      <c r="A92" s="434"/>
      <c r="B92" s="434"/>
      <c r="C92" s="434"/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</row>
    <row r="93">
      <c r="A93" s="434"/>
      <c r="B93" s="434"/>
      <c r="C93" s="434"/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</row>
    <row r="94">
      <c r="A94" s="434"/>
      <c r="B94" s="434"/>
      <c r="C94" s="434"/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</row>
    <row r="95">
      <c r="A95" s="434"/>
      <c r="B95" s="434"/>
      <c r="C95" s="434"/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</row>
    <row r="96">
      <c r="A96" s="434"/>
      <c r="B96" s="434"/>
      <c r="C96" s="434"/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</row>
    <row r="97">
      <c r="A97" s="434"/>
      <c r="B97" s="434"/>
      <c r="C97" s="434"/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</row>
    <row r="98">
      <c r="A98" s="434"/>
      <c r="B98" s="434"/>
      <c r="C98" s="434"/>
      <c r="D98" s="434"/>
      <c r="E98" s="434"/>
      <c r="F98" s="434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</row>
    <row r="99">
      <c r="A99" s="434"/>
      <c r="B99" s="434"/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</row>
    <row r="100">
      <c r="A100" s="434"/>
      <c r="B100" s="434"/>
      <c r="C100" s="434"/>
      <c r="D100" s="434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</row>
    <row r="101">
      <c r="A101" s="434"/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</row>
    <row r="102">
      <c r="A102" s="434"/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</row>
    <row r="103">
      <c r="A103" s="434"/>
      <c r="B103" s="434"/>
      <c r="C103" s="434"/>
      <c r="D103" s="434"/>
      <c r="E103" s="434"/>
      <c r="F103" s="434"/>
      <c r="G103" s="434"/>
      <c r="H103" s="434"/>
      <c r="I103" s="434"/>
      <c r="J103" s="434"/>
      <c r="K103" s="434"/>
      <c r="L103" s="434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</row>
    <row r="104">
      <c r="A104" s="434"/>
      <c r="B104" s="434"/>
      <c r="C104" s="434"/>
      <c r="D104" s="434"/>
      <c r="E104" s="434"/>
      <c r="F104" s="434"/>
      <c r="G104" s="434"/>
      <c r="H104" s="434"/>
      <c r="I104" s="434"/>
      <c r="J104" s="434"/>
      <c r="K104" s="434"/>
      <c r="L104" s="434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</row>
    <row r="105">
      <c r="A105" s="434"/>
      <c r="B105" s="434"/>
      <c r="C105" s="434"/>
      <c r="D105" s="434"/>
      <c r="E105" s="434"/>
      <c r="F105" s="434"/>
      <c r="G105" s="434"/>
      <c r="H105" s="434"/>
      <c r="I105" s="434"/>
      <c r="J105" s="434"/>
      <c r="K105" s="434"/>
      <c r="L105" s="434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</row>
    <row r="106">
      <c r="A106" s="434"/>
      <c r="B106" s="434"/>
      <c r="C106" s="434"/>
      <c r="D106" s="434"/>
      <c r="E106" s="434"/>
      <c r="F106" s="434"/>
      <c r="G106" s="434"/>
      <c r="H106" s="434"/>
      <c r="I106" s="434"/>
      <c r="J106" s="434"/>
      <c r="K106" s="434"/>
      <c r="L106" s="434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</row>
    <row r="107">
      <c r="A107" s="434"/>
      <c r="B107" s="434"/>
      <c r="C107" s="434"/>
      <c r="D107" s="434"/>
      <c r="E107" s="434"/>
      <c r="F107" s="434"/>
      <c r="G107" s="434"/>
      <c r="H107" s="434"/>
      <c r="I107" s="434"/>
      <c r="J107" s="434"/>
      <c r="K107" s="434"/>
      <c r="L107" s="434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</row>
    <row r="108">
      <c r="A108" s="434"/>
      <c r="B108" s="434"/>
      <c r="C108" s="434"/>
      <c r="D108" s="434"/>
      <c r="E108" s="434"/>
      <c r="F108" s="434"/>
      <c r="G108" s="434"/>
      <c r="H108" s="434"/>
      <c r="I108" s="434"/>
      <c r="J108" s="434"/>
      <c r="K108" s="434"/>
      <c r="L108" s="434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</row>
    <row r="109">
      <c r="A109" s="434"/>
      <c r="B109" s="434"/>
      <c r="C109" s="434"/>
      <c r="D109" s="434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</row>
    <row r="110">
      <c r="A110" s="434"/>
      <c r="B110" s="434"/>
      <c r="C110" s="434"/>
      <c r="D110" s="434"/>
      <c r="E110" s="434"/>
      <c r="F110" s="434"/>
      <c r="G110" s="434"/>
      <c r="H110" s="434"/>
      <c r="I110" s="434"/>
      <c r="J110" s="434"/>
      <c r="K110" s="434"/>
      <c r="L110" s="434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</row>
    <row r="111">
      <c r="A111" s="434"/>
      <c r="B111" s="434"/>
      <c r="C111" s="434"/>
      <c r="D111" s="434"/>
      <c r="E111" s="434"/>
      <c r="F111" s="434"/>
      <c r="G111" s="434"/>
      <c r="H111" s="434"/>
      <c r="I111" s="434"/>
      <c r="J111" s="434"/>
      <c r="K111" s="434"/>
      <c r="L111" s="434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</row>
    <row r="112">
      <c r="A112" s="434"/>
      <c r="B112" s="434"/>
      <c r="C112" s="434"/>
      <c r="D112" s="434"/>
      <c r="E112" s="434"/>
      <c r="F112" s="434"/>
      <c r="G112" s="434"/>
      <c r="H112" s="434"/>
      <c r="I112" s="434"/>
      <c r="J112" s="434"/>
      <c r="K112" s="434"/>
      <c r="L112" s="434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</row>
    <row r="113">
      <c r="A113" s="434"/>
      <c r="B113" s="434"/>
      <c r="C113" s="434"/>
      <c r="D113" s="434"/>
      <c r="E113" s="434"/>
      <c r="F113" s="434"/>
      <c r="G113" s="434"/>
      <c r="H113" s="434"/>
      <c r="I113" s="434"/>
      <c r="J113" s="434"/>
      <c r="K113" s="434"/>
      <c r="L113" s="434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</row>
    <row r="114">
      <c r="A114" s="434"/>
      <c r="B114" s="434"/>
      <c r="C114" s="434"/>
      <c r="D114" s="434"/>
      <c r="E114" s="434"/>
      <c r="F114" s="434"/>
      <c r="G114" s="434"/>
      <c r="H114" s="434"/>
      <c r="I114" s="434"/>
      <c r="J114" s="434"/>
      <c r="K114" s="434"/>
      <c r="L114" s="434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</row>
    <row r="115">
      <c r="A115" s="434"/>
      <c r="B115" s="434"/>
      <c r="C115" s="434"/>
      <c r="D115" s="434"/>
      <c r="E115" s="434"/>
      <c r="F115" s="434"/>
      <c r="G115" s="434"/>
      <c r="H115" s="434"/>
      <c r="I115" s="434"/>
      <c r="J115" s="434"/>
      <c r="K115" s="434"/>
      <c r="L115" s="434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</row>
    <row r="116">
      <c r="A116" s="434"/>
      <c r="B116" s="434"/>
      <c r="C116" s="434"/>
      <c r="D116" s="434"/>
      <c r="E116" s="434"/>
      <c r="F116" s="434"/>
      <c r="G116" s="434"/>
      <c r="H116" s="434"/>
      <c r="I116" s="434"/>
      <c r="J116" s="434"/>
      <c r="K116" s="434"/>
      <c r="L116" s="434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</row>
    <row r="117">
      <c r="A117" s="434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</row>
    <row r="118">
      <c r="A118" s="434"/>
      <c r="B118" s="434"/>
      <c r="C118" s="434"/>
      <c r="D118" s="434"/>
      <c r="E118" s="434"/>
      <c r="F118" s="434"/>
      <c r="G118" s="434"/>
      <c r="H118" s="434"/>
      <c r="I118" s="434"/>
      <c r="J118" s="434"/>
      <c r="K118" s="434"/>
      <c r="L118" s="434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</row>
    <row r="119">
      <c r="A119" s="434"/>
      <c r="B119" s="434"/>
      <c r="C119" s="434"/>
      <c r="D119" s="434"/>
      <c r="E119" s="434"/>
      <c r="F119" s="434"/>
      <c r="G119" s="434"/>
      <c r="H119" s="434"/>
      <c r="I119" s="434"/>
      <c r="J119" s="434"/>
      <c r="K119" s="434"/>
      <c r="L119" s="434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</row>
    <row r="120">
      <c r="A120" s="434"/>
      <c r="B120" s="434"/>
      <c r="C120" s="434"/>
      <c r="D120" s="434"/>
      <c r="E120" s="434"/>
      <c r="F120" s="434"/>
      <c r="G120" s="434"/>
      <c r="H120" s="434"/>
      <c r="I120" s="434"/>
      <c r="J120" s="434"/>
      <c r="K120" s="434"/>
      <c r="L120" s="434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</row>
    <row r="121">
      <c r="A121" s="434"/>
      <c r="B121" s="434"/>
      <c r="C121" s="434"/>
      <c r="D121" s="434"/>
      <c r="E121" s="434"/>
      <c r="F121" s="434"/>
      <c r="G121" s="434"/>
      <c r="H121" s="434"/>
      <c r="I121" s="434"/>
      <c r="J121" s="434"/>
      <c r="K121" s="434"/>
      <c r="L121" s="434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</row>
    <row r="122">
      <c r="A122" s="434"/>
      <c r="B122" s="434"/>
      <c r="C122" s="434"/>
      <c r="D122" s="434"/>
      <c r="E122" s="434"/>
      <c r="F122" s="434"/>
      <c r="G122" s="434"/>
      <c r="H122" s="434"/>
      <c r="I122" s="434"/>
      <c r="J122" s="434"/>
      <c r="K122" s="434"/>
      <c r="L122" s="434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</row>
    <row r="123">
      <c r="A123" s="434"/>
      <c r="B123" s="434"/>
      <c r="C123" s="434"/>
      <c r="D123" s="434"/>
      <c r="E123" s="434"/>
      <c r="F123" s="434"/>
      <c r="G123" s="434"/>
      <c r="H123" s="434"/>
      <c r="I123" s="434"/>
      <c r="J123" s="434"/>
      <c r="K123" s="434"/>
      <c r="L123" s="434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</row>
    <row r="124">
      <c r="A124" s="434"/>
      <c r="B124" s="434"/>
      <c r="C124" s="434"/>
      <c r="D124" s="434"/>
      <c r="E124" s="434"/>
      <c r="F124" s="434"/>
      <c r="G124" s="434"/>
      <c r="H124" s="434"/>
      <c r="I124" s="434"/>
      <c r="J124" s="434"/>
      <c r="K124" s="434"/>
      <c r="L124" s="434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</row>
    <row r="125">
      <c r="A125" s="434"/>
      <c r="B125" s="434"/>
      <c r="C125" s="434"/>
      <c r="D125" s="434"/>
      <c r="E125" s="434"/>
      <c r="F125" s="434"/>
      <c r="G125" s="434"/>
      <c r="H125" s="434"/>
      <c r="I125" s="434"/>
      <c r="J125" s="434"/>
      <c r="K125" s="434"/>
      <c r="L125" s="434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</row>
    <row r="126">
      <c r="A126" s="434"/>
      <c r="B126" s="434"/>
      <c r="C126" s="434"/>
      <c r="D126" s="434"/>
      <c r="E126" s="434"/>
      <c r="F126" s="434"/>
      <c r="G126" s="434"/>
      <c r="H126" s="434"/>
      <c r="I126" s="434"/>
      <c r="J126" s="434"/>
      <c r="K126" s="434"/>
      <c r="L126" s="434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</row>
    <row r="127">
      <c r="A127" s="434"/>
      <c r="B127" s="434"/>
      <c r="C127" s="434"/>
      <c r="D127" s="434"/>
      <c r="E127" s="434"/>
      <c r="F127" s="434"/>
      <c r="G127" s="434"/>
      <c r="H127" s="434"/>
      <c r="I127" s="434"/>
      <c r="J127" s="434"/>
      <c r="K127" s="434"/>
      <c r="L127" s="434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</row>
    <row r="128">
      <c r="A128" s="434"/>
      <c r="B128" s="434"/>
      <c r="C128" s="434"/>
      <c r="D128" s="434"/>
      <c r="E128" s="434"/>
      <c r="F128" s="434"/>
      <c r="G128" s="434"/>
      <c r="H128" s="434"/>
      <c r="I128" s="434"/>
      <c r="J128" s="434"/>
      <c r="K128" s="434"/>
      <c r="L128" s="434"/>
      <c r="M128" s="434"/>
      <c r="N128" s="434"/>
      <c r="O128" s="434"/>
      <c r="P128" s="434"/>
      <c r="Q128" s="434"/>
      <c r="R128" s="434"/>
      <c r="S128" s="434"/>
      <c r="T128" s="434"/>
      <c r="U128" s="434"/>
      <c r="V128" s="434"/>
      <c r="W128" s="434"/>
    </row>
    <row r="129">
      <c r="A129" s="434"/>
      <c r="B129" s="434"/>
      <c r="C129" s="434"/>
      <c r="D129" s="434"/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/>
      <c r="V129" s="434"/>
      <c r="W129" s="434"/>
    </row>
    <row r="130">
      <c r="A130" s="434"/>
      <c r="B130" s="434"/>
      <c r="C130" s="434"/>
      <c r="D130" s="434"/>
      <c r="E130" s="434"/>
      <c r="F130" s="434"/>
      <c r="G130" s="434"/>
      <c r="H130" s="434"/>
      <c r="I130" s="434"/>
      <c r="J130" s="434"/>
      <c r="K130" s="434"/>
      <c r="L130" s="434"/>
      <c r="M130" s="434"/>
      <c r="N130" s="434"/>
      <c r="O130" s="434"/>
      <c r="P130" s="434"/>
      <c r="Q130" s="434"/>
      <c r="R130" s="434"/>
      <c r="S130" s="434"/>
      <c r="T130" s="434"/>
      <c r="U130" s="434"/>
      <c r="V130" s="434"/>
      <c r="W130" s="434"/>
    </row>
    <row r="131">
      <c r="A131" s="434"/>
      <c r="B131" s="434"/>
      <c r="C131" s="434"/>
      <c r="D131" s="434"/>
      <c r="E131" s="434"/>
      <c r="F131" s="434"/>
      <c r="G131" s="434"/>
      <c r="H131" s="434"/>
      <c r="I131" s="434"/>
      <c r="J131" s="434"/>
      <c r="K131" s="434"/>
      <c r="L131" s="434"/>
      <c r="M131" s="434"/>
      <c r="N131" s="434"/>
      <c r="O131" s="434"/>
      <c r="P131" s="434"/>
      <c r="Q131" s="434"/>
      <c r="R131" s="434"/>
      <c r="S131" s="434"/>
      <c r="T131" s="434"/>
      <c r="U131" s="434"/>
      <c r="V131" s="434"/>
      <c r="W131" s="434"/>
    </row>
    <row r="132">
      <c r="A132" s="434"/>
      <c r="B132" s="434"/>
      <c r="C132" s="434"/>
      <c r="D132" s="434"/>
      <c r="E132" s="434"/>
      <c r="F132" s="434"/>
      <c r="G132" s="434"/>
      <c r="H132" s="434"/>
      <c r="I132" s="434"/>
      <c r="J132" s="434"/>
      <c r="K132" s="434"/>
      <c r="L132" s="434"/>
      <c r="M132" s="434"/>
      <c r="N132" s="434"/>
      <c r="O132" s="434"/>
      <c r="P132" s="434"/>
      <c r="Q132" s="434"/>
      <c r="R132" s="434"/>
      <c r="S132" s="434"/>
      <c r="T132" s="434"/>
      <c r="U132" s="434"/>
      <c r="V132" s="434"/>
      <c r="W132" s="434"/>
    </row>
    <row r="133">
      <c r="A133" s="434"/>
      <c r="B133" s="434"/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  <c r="V133" s="434"/>
      <c r="W133" s="434"/>
    </row>
    <row r="134">
      <c r="A134" s="434"/>
      <c r="B134" s="434"/>
      <c r="C134" s="434"/>
      <c r="D134" s="434"/>
      <c r="E134" s="434"/>
      <c r="F134" s="434"/>
      <c r="G134" s="434"/>
      <c r="H134" s="434"/>
      <c r="I134" s="434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434"/>
      <c r="U134" s="434"/>
      <c r="V134" s="434"/>
      <c r="W134" s="434"/>
    </row>
    <row r="135">
      <c r="A135" s="434"/>
      <c r="B135" s="434"/>
      <c r="C135" s="434"/>
      <c r="D135" s="434"/>
      <c r="E135" s="434"/>
      <c r="F135" s="434"/>
      <c r="G135" s="434"/>
      <c r="H135" s="434"/>
      <c r="I135" s="434"/>
      <c r="J135" s="434"/>
      <c r="K135" s="434"/>
      <c r="L135" s="434"/>
      <c r="M135" s="434"/>
      <c r="N135" s="434"/>
      <c r="O135" s="434"/>
      <c r="P135" s="434"/>
      <c r="Q135" s="434"/>
      <c r="R135" s="434"/>
      <c r="S135" s="434"/>
      <c r="T135" s="434"/>
      <c r="U135" s="434"/>
      <c r="V135" s="434"/>
      <c r="W135" s="434"/>
    </row>
    <row r="136">
      <c r="A136" s="434"/>
      <c r="B136" s="434"/>
      <c r="C136" s="434"/>
      <c r="D136" s="434"/>
      <c r="E136" s="434"/>
      <c r="F136" s="434"/>
      <c r="G136" s="434"/>
      <c r="H136" s="434"/>
      <c r="I136" s="434"/>
      <c r="J136" s="434"/>
      <c r="K136" s="434"/>
      <c r="L136" s="434"/>
      <c r="M136" s="434"/>
      <c r="N136" s="434"/>
      <c r="O136" s="434"/>
      <c r="P136" s="434"/>
      <c r="Q136" s="434"/>
      <c r="R136" s="434"/>
      <c r="S136" s="434"/>
      <c r="T136" s="434"/>
      <c r="U136" s="434"/>
      <c r="V136" s="434"/>
      <c r="W136" s="434"/>
    </row>
    <row r="137">
      <c r="A137" s="434"/>
      <c r="B137" s="434"/>
      <c r="C137" s="434"/>
      <c r="D137" s="434"/>
      <c r="E137" s="434"/>
      <c r="F137" s="434"/>
      <c r="G137" s="434"/>
      <c r="H137" s="434"/>
      <c r="I137" s="434"/>
      <c r="J137" s="434"/>
      <c r="K137" s="434"/>
      <c r="L137" s="434"/>
      <c r="M137" s="434"/>
      <c r="N137" s="434"/>
      <c r="O137" s="434"/>
      <c r="P137" s="434"/>
      <c r="Q137" s="434"/>
      <c r="R137" s="434"/>
      <c r="S137" s="434"/>
      <c r="T137" s="434"/>
      <c r="U137" s="434"/>
      <c r="V137" s="434"/>
      <c r="W137" s="434"/>
    </row>
    <row r="138">
      <c r="A138" s="434"/>
      <c r="B138" s="434"/>
      <c r="C138" s="434"/>
      <c r="D138" s="434"/>
      <c r="E138" s="434"/>
      <c r="F138" s="434"/>
      <c r="G138" s="434"/>
      <c r="H138" s="434"/>
      <c r="I138" s="434"/>
      <c r="J138" s="434"/>
      <c r="K138" s="434"/>
      <c r="L138" s="434"/>
      <c r="M138" s="434"/>
      <c r="N138" s="434"/>
      <c r="O138" s="434"/>
      <c r="P138" s="434"/>
      <c r="Q138" s="434"/>
      <c r="R138" s="434"/>
      <c r="S138" s="434"/>
      <c r="T138" s="434"/>
      <c r="U138" s="434"/>
      <c r="V138" s="434"/>
      <c r="W138" s="434"/>
    </row>
    <row r="139">
      <c r="A139" s="434"/>
      <c r="B139" s="434"/>
      <c r="C139" s="434"/>
      <c r="D139" s="434"/>
      <c r="E139" s="434"/>
      <c r="F139" s="434"/>
      <c r="G139" s="434"/>
      <c r="H139" s="434"/>
      <c r="I139" s="434"/>
      <c r="J139" s="434"/>
      <c r="K139" s="434"/>
      <c r="L139" s="434"/>
      <c r="M139" s="434"/>
      <c r="N139" s="434"/>
      <c r="O139" s="434"/>
      <c r="P139" s="434"/>
      <c r="Q139" s="434"/>
      <c r="R139" s="434"/>
      <c r="S139" s="434"/>
      <c r="T139" s="434"/>
      <c r="U139" s="434"/>
      <c r="V139" s="434"/>
      <c r="W139" s="434"/>
    </row>
    <row r="140">
      <c r="A140" s="434"/>
      <c r="B140" s="434"/>
      <c r="C140" s="434"/>
      <c r="D140" s="434"/>
      <c r="E140" s="434"/>
      <c r="F140" s="434"/>
      <c r="G140" s="434"/>
      <c r="H140" s="434"/>
      <c r="I140" s="434"/>
      <c r="J140" s="434"/>
      <c r="K140" s="434"/>
      <c r="L140" s="434"/>
      <c r="M140" s="434"/>
      <c r="N140" s="434"/>
      <c r="O140" s="434"/>
      <c r="P140" s="434"/>
      <c r="Q140" s="434"/>
      <c r="R140" s="434"/>
      <c r="S140" s="434"/>
      <c r="T140" s="434"/>
      <c r="U140" s="434"/>
      <c r="V140" s="434"/>
      <c r="W140" s="434"/>
    </row>
    <row r="141">
      <c r="A141" s="434"/>
      <c r="B141" s="434"/>
      <c r="C141" s="434"/>
      <c r="D141" s="434"/>
      <c r="E141" s="434"/>
      <c r="F141" s="434"/>
      <c r="G141" s="434"/>
      <c r="H141" s="434"/>
      <c r="I141" s="434"/>
      <c r="J141" s="434"/>
      <c r="K141" s="434"/>
      <c r="L141" s="434"/>
      <c r="M141" s="434"/>
      <c r="N141" s="434"/>
      <c r="O141" s="434"/>
      <c r="P141" s="434"/>
      <c r="Q141" s="434"/>
      <c r="R141" s="434"/>
      <c r="S141" s="434"/>
      <c r="T141" s="434"/>
      <c r="U141" s="434"/>
      <c r="V141" s="434"/>
      <c r="W141" s="434"/>
    </row>
    <row r="142">
      <c r="A142" s="434"/>
      <c r="B142" s="434"/>
      <c r="C142" s="434"/>
      <c r="D142" s="434"/>
      <c r="E142" s="434"/>
      <c r="F142" s="434"/>
      <c r="G142" s="434"/>
      <c r="H142" s="434"/>
      <c r="I142" s="434"/>
      <c r="J142" s="434"/>
      <c r="K142" s="434"/>
      <c r="L142" s="434"/>
      <c r="M142" s="434"/>
      <c r="N142" s="434"/>
      <c r="O142" s="434"/>
      <c r="P142" s="434"/>
      <c r="Q142" s="434"/>
      <c r="R142" s="434"/>
      <c r="S142" s="434"/>
      <c r="T142" s="434"/>
      <c r="U142" s="434"/>
      <c r="V142" s="434"/>
      <c r="W142" s="434"/>
    </row>
    <row r="143">
      <c r="A143" s="434"/>
      <c r="B143" s="434"/>
      <c r="C143" s="434"/>
      <c r="D143" s="434"/>
      <c r="E143" s="434"/>
      <c r="F143" s="434"/>
      <c r="G143" s="434"/>
      <c r="H143" s="434"/>
      <c r="I143" s="434"/>
      <c r="J143" s="434"/>
      <c r="K143" s="434"/>
      <c r="L143" s="434"/>
      <c r="M143" s="434"/>
      <c r="N143" s="434"/>
      <c r="O143" s="434"/>
      <c r="P143" s="434"/>
      <c r="Q143" s="434"/>
      <c r="R143" s="434"/>
      <c r="S143" s="434"/>
      <c r="T143" s="434"/>
      <c r="U143" s="434"/>
      <c r="V143" s="434"/>
      <c r="W143" s="434"/>
    </row>
    <row r="144">
      <c r="A144" s="434"/>
      <c r="B144" s="434"/>
      <c r="C144" s="434"/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4"/>
      <c r="R144" s="434"/>
      <c r="S144" s="434"/>
      <c r="T144" s="434"/>
      <c r="U144" s="434"/>
      <c r="V144" s="434"/>
      <c r="W144" s="434"/>
    </row>
    <row r="145">
      <c r="A145" s="434"/>
      <c r="B145" s="434"/>
      <c r="C145" s="434"/>
      <c r="D145" s="434"/>
      <c r="E145" s="434"/>
      <c r="F145" s="434"/>
      <c r="G145" s="434"/>
      <c r="H145" s="434"/>
      <c r="I145" s="434"/>
      <c r="J145" s="434"/>
      <c r="K145" s="434"/>
      <c r="L145" s="434"/>
      <c r="M145" s="434"/>
      <c r="N145" s="434"/>
      <c r="O145" s="434"/>
      <c r="P145" s="434"/>
      <c r="Q145" s="434"/>
      <c r="R145" s="434"/>
      <c r="S145" s="434"/>
      <c r="T145" s="434"/>
      <c r="U145" s="434"/>
      <c r="V145" s="434"/>
      <c r="W145" s="434"/>
    </row>
    <row r="146">
      <c r="A146" s="434"/>
      <c r="B146" s="434"/>
      <c r="C146" s="434"/>
      <c r="D146" s="434"/>
      <c r="E146" s="434"/>
      <c r="F146" s="434"/>
      <c r="G146" s="434"/>
      <c r="H146" s="434"/>
      <c r="I146" s="434"/>
      <c r="J146" s="434"/>
      <c r="K146" s="434"/>
      <c r="L146" s="434"/>
      <c r="M146" s="434"/>
      <c r="N146" s="434"/>
      <c r="O146" s="434"/>
      <c r="P146" s="434"/>
      <c r="Q146" s="434"/>
      <c r="R146" s="434"/>
      <c r="S146" s="434"/>
      <c r="T146" s="434"/>
      <c r="U146" s="434"/>
      <c r="V146" s="434"/>
      <c r="W146" s="434"/>
    </row>
    <row r="147">
      <c r="A147" s="434"/>
      <c r="B147" s="434"/>
      <c r="C147" s="434"/>
      <c r="D147" s="434"/>
      <c r="E147" s="434"/>
      <c r="F147" s="434"/>
      <c r="G147" s="434"/>
      <c r="H147" s="434"/>
      <c r="I147" s="434"/>
      <c r="J147" s="434"/>
      <c r="K147" s="434"/>
      <c r="L147" s="434"/>
      <c r="M147" s="434"/>
      <c r="N147" s="434"/>
      <c r="O147" s="434"/>
      <c r="P147" s="434"/>
      <c r="Q147" s="434"/>
      <c r="R147" s="434"/>
      <c r="S147" s="434"/>
      <c r="T147" s="434"/>
      <c r="U147" s="434"/>
      <c r="V147" s="434"/>
      <c r="W147" s="434"/>
    </row>
    <row r="148">
      <c r="A148" s="434"/>
      <c r="B148" s="434"/>
      <c r="C148" s="434"/>
      <c r="D148" s="434"/>
      <c r="E148" s="434"/>
      <c r="F148" s="434"/>
      <c r="G148" s="434"/>
      <c r="H148" s="434"/>
      <c r="I148" s="434"/>
      <c r="J148" s="434"/>
      <c r="K148" s="434"/>
      <c r="L148" s="434"/>
      <c r="M148" s="434"/>
      <c r="N148" s="434"/>
      <c r="O148" s="434"/>
      <c r="P148" s="434"/>
      <c r="Q148" s="434"/>
      <c r="R148" s="434"/>
      <c r="S148" s="434"/>
      <c r="T148" s="434"/>
      <c r="U148" s="434"/>
      <c r="V148" s="434"/>
      <c r="W148" s="434"/>
    </row>
    <row r="149">
      <c r="A149" s="434"/>
      <c r="B149" s="434"/>
      <c r="C149" s="434"/>
      <c r="D149" s="434"/>
      <c r="E149" s="434"/>
      <c r="F149" s="434"/>
      <c r="G149" s="434"/>
      <c r="H149" s="434"/>
      <c r="I149" s="434"/>
      <c r="J149" s="434"/>
      <c r="K149" s="434"/>
      <c r="L149" s="434"/>
      <c r="M149" s="434"/>
      <c r="N149" s="434"/>
      <c r="O149" s="434"/>
      <c r="P149" s="434"/>
      <c r="Q149" s="434"/>
      <c r="R149" s="434"/>
      <c r="S149" s="434"/>
      <c r="T149" s="434"/>
      <c r="U149" s="434"/>
      <c r="V149" s="434"/>
      <c r="W149" s="434"/>
    </row>
    <row r="150">
      <c r="A150" s="434"/>
      <c r="B150" s="434"/>
      <c r="C150" s="434"/>
      <c r="D150" s="434"/>
      <c r="E150" s="434"/>
      <c r="F150" s="434"/>
      <c r="G150" s="434"/>
      <c r="H150" s="434"/>
      <c r="I150" s="434"/>
      <c r="J150" s="434"/>
      <c r="K150" s="434"/>
      <c r="L150" s="434"/>
      <c r="M150" s="434"/>
      <c r="N150" s="434"/>
      <c r="O150" s="434"/>
      <c r="P150" s="434"/>
      <c r="Q150" s="434"/>
      <c r="R150" s="434"/>
      <c r="S150" s="434"/>
      <c r="T150" s="434"/>
      <c r="U150" s="434"/>
      <c r="V150" s="434"/>
      <c r="W150" s="434"/>
    </row>
    <row r="151">
      <c r="A151" s="434"/>
      <c r="B151" s="434"/>
      <c r="C151" s="434"/>
      <c r="D151" s="434"/>
      <c r="E151" s="434"/>
      <c r="F151" s="434"/>
      <c r="G151" s="434"/>
      <c r="H151" s="434"/>
      <c r="I151" s="434"/>
      <c r="J151" s="434"/>
      <c r="K151" s="434"/>
      <c r="L151" s="434"/>
      <c r="M151" s="434"/>
      <c r="N151" s="434"/>
      <c r="O151" s="434"/>
      <c r="P151" s="434"/>
      <c r="Q151" s="434"/>
      <c r="R151" s="434"/>
      <c r="S151" s="434"/>
      <c r="T151" s="434"/>
      <c r="U151" s="434"/>
      <c r="V151" s="434"/>
      <c r="W151" s="434"/>
    </row>
    <row r="152">
      <c r="A152" s="434"/>
      <c r="B152" s="434"/>
      <c r="C152" s="434"/>
      <c r="D152" s="434"/>
      <c r="E152" s="434"/>
      <c r="F152" s="434"/>
      <c r="G152" s="434"/>
      <c r="H152" s="434"/>
      <c r="I152" s="434"/>
      <c r="J152" s="434"/>
      <c r="K152" s="434"/>
      <c r="L152" s="434"/>
      <c r="M152" s="434"/>
      <c r="N152" s="434"/>
      <c r="O152" s="434"/>
      <c r="P152" s="434"/>
      <c r="Q152" s="434"/>
      <c r="R152" s="434"/>
      <c r="S152" s="434"/>
      <c r="T152" s="434"/>
      <c r="U152" s="434"/>
      <c r="V152" s="434"/>
      <c r="W152" s="434"/>
    </row>
    <row r="153">
      <c r="A153" s="434"/>
      <c r="B153" s="434"/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</row>
    <row r="154">
      <c r="A154" s="434"/>
      <c r="B154" s="434"/>
      <c r="C154" s="434"/>
      <c r="D154" s="434"/>
      <c r="E154" s="434"/>
      <c r="F154" s="434"/>
      <c r="G154" s="434"/>
      <c r="H154" s="434"/>
      <c r="I154" s="434"/>
      <c r="J154" s="434"/>
      <c r="K154" s="434"/>
      <c r="L154" s="434"/>
      <c r="M154" s="434"/>
      <c r="N154" s="434"/>
      <c r="O154" s="434"/>
      <c r="P154" s="434"/>
      <c r="Q154" s="434"/>
      <c r="R154" s="434"/>
      <c r="S154" s="434"/>
      <c r="T154" s="434"/>
      <c r="U154" s="434"/>
      <c r="V154" s="434"/>
      <c r="W154" s="434"/>
    </row>
    <row r="155">
      <c r="A155" s="434"/>
      <c r="B155" s="434"/>
      <c r="C155" s="434"/>
      <c r="D155" s="434"/>
      <c r="E155" s="434"/>
      <c r="F155" s="434"/>
      <c r="G155" s="434"/>
      <c r="H155" s="434"/>
      <c r="I155" s="434"/>
      <c r="J155" s="434"/>
      <c r="K155" s="434"/>
      <c r="L155" s="434"/>
      <c r="M155" s="434"/>
      <c r="N155" s="434"/>
      <c r="O155" s="434"/>
      <c r="P155" s="434"/>
      <c r="Q155" s="434"/>
      <c r="R155" s="434"/>
      <c r="S155" s="434"/>
      <c r="T155" s="434"/>
      <c r="U155" s="434"/>
      <c r="V155" s="434"/>
      <c r="W155" s="434"/>
    </row>
    <row r="156">
      <c r="A156" s="434"/>
      <c r="B156" s="434"/>
      <c r="C156" s="434"/>
      <c r="D156" s="434"/>
      <c r="E156" s="434"/>
      <c r="F156" s="434"/>
      <c r="G156" s="434"/>
      <c r="H156" s="434"/>
      <c r="I156" s="434"/>
      <c r="J156" s="434"/>
      <c r="K156" s="434"/>
      <c r="L156" s="434"/>
      <c r="M156" s="434"/>
      <c r="N156" s="434"/>
      <c r="O156" s="434"/>
      <c r="P156" s="434"/>
      <c r="Q156" s="434"/>
      <c r="R156" s="434"/>
      <c r="S156" s="434"/>
      <c r="T156" s="434"/>
      <c r="U156" s="434"/>
      <c r="V156" s="434"/>
      <c r="W156" s="434"/>
    </row>
    <row r="157">
      <c r="A157" s="434"/>
      <c r="B157" s="434"/>
      <c r="C157" s="434"/>
      <c r="D157" s="434"/>
      <c r="E157" s="434"/>
      <c r="F157" s="434"/>
      <c r="G157" s="434"/>
      <c r="H157" s="434"/>
      <c r="I157" s="434"/>
      <c r="J157" s="434"/>
      <c r="K157" s="434"/>
      <c r="L157" s="434"/>
      <c r="M157" s="434"/>
      <c r="N157" s="434"/>
      <c r="O157" s="434"/>
      <c r="P157" s="434"/>
      <c r="Q157" s="434"/>
      <c r="R157" s="434"/>
      <c r="S157" s="434"/>
      <c r="T157" s="434"/>
      <c r="U157" s="434"/>
      <c r="V157" s="434"/>
      <c r="W157" s="434"/>
    </row>
    <row r="158">
      <c r="A158" s="434"/>
      <c r="B158" s="434"/>
      <c r="C158" s="434"/>
      <c r="D158" s="434"/>
      <c r="E158" s="434"/>
      <c r="F158" s="434"/>
      <c r="G158" s="434"/>
      <c r="H158" s="434"/>
      <c r="I158" s="434"/>
      <c r="J158" s="434"/>
      <c r="K158" s="434"/>
      <c r="L158" s="434"/>
      <c r="M158" s="434"/>
      <c r="N158" s="434"/>
      <c r="O158" s="434"/>
      <c r="P158" s="434"/>
      <c r="Q158" s="434"/>
      <c r="R158" s="434"/>
      <c r="S158" s="434"/>
      <c r="T158" s="434"/>
      <c r="U158" s="434"/>
      <c r="V158" s="434"/>
      <c r="W158" s="434"/>
    </row>
    <row r="159">
      <c r="A159" s="434"/>
      <c r="B159" s="434"/>
      <c r="C159" s="434"/>
      <c r="D159" s="434"/>
      <c r="E159" s="434"/>
      <c r="F159" s="434"/>
      <c r="G159" s="434"/>
      <c r="H159" s="434"/>
      <c r="I159" s="434"/>
      <c r="J159" s="434"/>
      <c r="K159" s="434"/>
      <c r="L159" s="434"/>
      <c r="M159" s="434"/>
      <c r="N159" s="434"/>
      <c r="O159" s="434"/>
      <c r="P159" s="434"/>
      <c r="Q159" s="434"/>
      <c r="R159" s="434"/>
      <c r="S159" s="434"/>
      <c r="T159" s="434"/>
      <c r="U159" s="434"/>
      <c r="V159" s="434"/>
      <c r="W159" s="434"/>
    </row>
    <row r="160">
      <c r="A160" s="434"/>
      <c r="B160" s="434"/>
      <c r="C160" s="434"/>
      <c r="D160" s="434"/>
      <c r="E160" s="434"/>
      <c r="F160" s="434"/>
      <c r="G160" s="434"/>
      <c r="H160" s="434"/>
      <c r="I160" s="434"/>
      <c r="J160" s="434"/>
      <c r="K160" s="434"/>
      <c r="L160" s="434"/>
      <c r="M160" s="434"/>
      <c r="N160" s="434"/>
      <c r="O160" s="434"/>
      <c r="P160" s="434"/>
      <c r="Q160" s="434"/>
      <c r="R160" s="434"/>
      <c r="S160" s="434"/>
      <c r="T160" s="434"/>
      <c r="U160" s="434"/>
      <c r="V160" s="434"/>
      <c r="W160" s="434"/>
    </row>
    <row r="161">
      <c r="A161" s="434"/>
      <c r="B161" s="434"/>
      <c r="C161" s="434"/>
      <c r="D161" s="434"/>
      <c r="E161" s="434"/>
      <c r="F161" s="434"/>
      <c r="G161" s="434"/>
      <c r="H161" s="434"/>
      <c r="I161" s="434"/>
      <c r="J161" s="434"/>
      <c r="K161" s="434"/>
      <c r="L161" s="434"/>
      <c r="M161" s="434"/>
      <c r="N161" s="434"/>
      <c r="O161" s="434"/>
      <c r="P161" s="434"/>
      <c r="Q161" s="434"/>
      <c r="R161" s="434"/>
      <c r="S161" s="434"/>
      <c r="T161" s="434"/>
      <c r="U161" s="434"/>
      <c r="V161" s="434"/>
      <c r="W161" s="434"/>
    </row>
    <row r="162">
      <c r="A162" s="434"/>
      <c r="B162" s="434"/>
      <c r="C162" s="434"/>
      <c r="D162" s="434"/>
      <c r="E162" s="434"/>
      <c r="F162" s="434"/>
      <c r="G162" s="434"/>
      <c r="H162" s="434"/>
      <c r="I162" s="434"/>
      <c r="J162" s="434"/>
      <c r="K162" s="434"/>
      <c r="L162" s="434"/>
      <c r="M162" s="434"/>
      <c r="N162" s="434"/>
      <c r="O162" s="434"/>
      <c r="P162" s="434"/>
      <c r="Q162" s="434"/>
      <c r="R162" s="434"/>
      <c r="S162" s="434"/>
      <c r="T162" s="434"/>
      <c r="U162" s="434"/>
      <c r="V162" s="434"/>
      <c r="W162" s="434"/>
    </row>
    <row r="163">
      <c r="A163" s="434"/>
      <c r="B163" s="434"/>
      <c r="C163" s="434"/>
      <c r="D163" s="434"/>
      <c r="E163" s="434"/>
      <c r="F163" s="434"/>
      <c r="G163" s="434"/>
      <c r="H163" s="434"/>
      <c r="I163" s="434"/>
      <c r="J163" s="434"/>
      <c r="K163" s="434"/>
      <c r="L163" s="434"/>
      <c r="M163" s="434"/>
      <c r="N163" s="434"/>
      <c r="O163" s="434"/>
      <c r="P163" s="434"/>
      <c r="Q163" s="434"/>
      <c r="R163" s="434"/>
      <c r="S163" s="434"/>
      <c r="T163" s="434"/>
      <c r="U163" s="434"/>
      <c r="V163" s="434"/>
      <c r="W163" s="434"/>
    </row>
    <row r="164">
      <c r="A164" s="434"/>
      <c r="B164" s="434"/>
      <c r="C164" s="434"/>
      <c r="D164" s="434"/>
      <c r="E164" s="434"/>
      <c r="F164" s="434"/>
      <c r="G164" s="434"/>
      <c r="H164" s="434"/>
      <c r="I164" s="434"/>
      <c r="J164" s="434"/>
      <c r="K164" s="434"/>
      <c r="L164" s="434"/>
      <c r="M164" s="434"/>
      <c r="N164" s="434"/>
      <c r="O164" s="434"/>
      <c r="P164" s="434"/>
      <c r="Q164" s="434"/>
      <c r="R164" s="434"/>
      <c r="S164" s="434"/>
      <c r="T164" s="434"/>
      <c r="U164" s="434"/>
      <c r="V164" s="434"/>
      <c r="W164" s="434"/>
    </row>
    <row r="165">
      <c r="A165" s="434"/>
      <c r="B165" s="434"/>
      <c r="C165" s="434"/>
      <c r="D165" s="434"/>
      <c r="E165" s="434"/>
      <c r="F165" s="434"/>
      <c r="G165" s="434"/>
      <c r="H165" s="434"/>
      <c r="I165" s="434"/>
      <c r="J165" s="434"/>
      <c r="K165" s="434"/>
      <c r="L165" s="434"/>
      <c r="M165" s="434"/>
      <c r="N165" s="434"/>
      <c r="O165" s="434"/>
      <c r="P165" s="434"/>
      <c r="Q165" s="434"/>
      <c r="R165" s="434"/>
      <c r="S165" s="434"/>
      <c r="T165" s="434"/>
      <c r="U165" s="434"/>
      <c r="V165" s="434"/>
      <c r="W165" s="434"/>
    </row>
    <row r="166">
      <c r="A166" s="434"/>
      <c r="B166" s="434"/>
      <c r="C166" s="434"/>
      <c r="D166" s="434"/>
      <c r="E166" s="434"/>
      <c r="F166" s="434"/>
      <c r="G166" s="434"/>
      <c r="H166" s="434"/>
      <c r="I166" s="434"/>
      <c r="J166" s="434"/>
      <c r="K166" s="434"/>
      <c r="L166" s="434"/>
      <c r="M166" s="434"/>
      <c r="N166" s="434"/>
      <c r="O166" s="434"/>
      <c r="P166" s="434"/>
      <c r="Q166" s="434"/>
      <c r="R166" s="434"/>
      <c r="S166" s="434"/>
      <c r="T166" s="434"/>
      <c r="U166" s="434"/>
      <c r="V166" s="434"/>
      <c r="W166" s="434"/>
    </row>
    <row r="167">
      <c r="A167" s="434"/>
      <c r="B167" s="434"/>
      <c r="C167" s="434"/>
      <c r="D167" s="434"/>
      <c r="E167" s="434"/>
      <c r="F167" s="434"/>
      <c r="G167" s="434"/>
      <c r="H167" s="434"/>
      <c r="I167" s="434"/>
      <c r="J167" s="434"/>
      <c r="K167" s="434"/>
      <c r="L167" s="434"/>
      <c r="M167" s="434"/>
      <c r="N167" s="434"/>
      <c r="O167" s="434"/>
      <c r="P167" s="434"/>
      <c r="Q167" s="434"/>
      <c r="R167" s="434"/>
      <c r="S167" s="434"/>
      <c r="T167" s="434"/>
      <c r="U167" s="434"/>
      <c r="V167" s="434"/>
      <c r="W167" s="434"/>
    </row>
    <row r="168">
      <c r="A168" s="434"/>
      <c r="B168" s="434"/>
      <c r="C168" s="434"/>
      <c r="D168" s="434"/>
      <c r="E168" s="434"/>
      <c r="F168" s="434"/>
      <c r="G168" s="434"/>
      <c r="H168" s="434"/>
      <c r="I168" s="434"/>
      <c r="J168" s="434"/>
      <c r="K168" s="434"/>
      <c r="L168" s="434"/>
      <c r="M168" s="434"/>
      <c r="N168" s="434"/>
      <c r="O168" s="434"/>
      <c r="P168" s="434"/>
      <c r="Q168" s="434"/>
      <c r="R168" s="434"/>
      <c r="S168" s="434"/>
      <c r="T168" s="434"/>
      <c r="U168" s="434"/>
      <c r="V168" s="434"/>
      <c r="W168" s="434"/>
    </row>
    <row r="169">
      <c r="A169" s="434"/>
      <c r="B169" s="434"/>
      <c r="C169" s="434"/>
      <c r="D169" s="434"/>
      <c r="E169" s="434"/>
      <c r="F169" s="434"/>
      <c r="G169" s="434"/>
      <c r="H169" s="434"/>
      <c r="I169" s="434"/>
      <c r="J169" s="434"/>
      <c r="K169" s="434"/>
      <c r="L169" s="434"/>
      <c r="M169" s="434"/>
      <c r="N169" s="434"/>
      <c r="O169" s="434"/>
      <c r="P169" s="434"/>
      <c r="Q169" s="434"/>
      <c r="R169" s="434"/>
      <c r="S169" s="434"/>
      <c r="T169" s="434"/>
      <c r="U169" s="434"/>
      <c r="V169" s="434"/>
      <c r="W169" s="434"/>
    </row>
    <row r="170">
      <c r="A170" s="434"/>
      <c r="B170" s="434"/>
      <c r="C170" s="434"/>
      <c r="D170" s="434"/>
      <c r="E170" s="434"/>
      <c r="F170" s="434"/>
      <c r="G170" s="434"/>
      <c r="H170" s="434"/>
      <c r="I170" s="434"/>
      <c r="J170" s="434"/>
      <c r="K170" s="434"/>
      <c r="L170" s="434"/>
      <c r="M170" s="434"/>
      <c r="N170" s="434"/>
      <c r="O170" s="434"/>
      <c r="P170" s="434"/>
      <c r="Q170" s="434"/>
      <c r="R170" s="434"/>
      <c r="S170" s="434"/>
      <c r="T170" s="434"/>
      <c r="U170" s="434"/>
      <c r="V170" s="434"/>
      <c r="W170" s="434"/>
    </row>
    <row r="171">
      <c r="A171" s="434"/>
      <c r="B171" s="434"/>
      <c r="C171" s="434"/>
      <c r="D171" s="434"/>
      <c r="E171" s="434"/>
      <c r="F171" s="434"/>
      <c r="G171" s="434"/>
      <c r="H171" s="434"/>
      <c r="I171" s="434"/>
      <c r="J171" s="434"/>
      <c r="K171" s="434"/>
      <c r="L171" s="434"/>
      <c r="M171" s="434"/>
      <c r="N171" s="434"/>
      <c r="O171" s="434"/>
      <c r="P171" s="434"/>
      <c r="Q171" s="434"/>
      <c r="R171" s="434"/>
      <c r="S171" s="434"/>
      <c r="T171" s="434"/>
      <c r="U171" s="434"/>
      <c r="V171" s="434"/>
      <c r="W171" s="434"/>
    </row>
    <row r="172">
      <c r="A172" s="434"/>
      <c r="B172" s="434"/>
      <c r="C172" s="434"/>
      <c r="D172" s="434"/>
      <c r="E172" s="434"/>
      <c r="F172" s="434"/>
      <c r="G172" s="434"/>
      <c r="H172" s="434"/>
      <c r="I172" s="434"/>
      <c r="J172" s="434"/>
      <c r="K172" s="434"/>
      <c r="L172" s="434"/>
      <c r="M172" s="434"/>
      <c r="N172" s="434"/>
      <c r="O172" s="434"/>
      <c r="P172" s="434"/>
      <c r="Q172" s="434"/>
      <c r="R172" s="434"/>
      <c r="S172" s="434"/>
      <c r="T172" s="434"/>
      <c r="U172" s="434"/>
      <c r="V172" s="434"/>
      <c r="W172" s="434"/>
    </row>
    <row r="173">
      <c r="A173" s="434"/>
      <c r="B173" s="434"/>
      <c r="C173" s="434"/>
      <c r="D173" s="434"/>
      <c r="E173" s="434"/>
      <c r="F173" s="434"/>
      <c r="G173" s="434"/>
      <c r="H173" s="434"/>
      <c r="I173" s="434"/>
      <c r="J173" s="434"/>
      <c r="K173" s="434"/>
      <c r="L173" s="434"/>
      <c r="M173" s="434"/>
      <c r="N173" s="434"/>
      <c r="O173" s="434"/>
      <c r="P173" s="434"/>
      <c r="Q173" s="434"/>
      <c r="R173" s="434"/>
      <c r="S173" s="434"/>
      <c r="T173" s="434"/>
      <c r="U173" s="434"/>
      <c r="V173" s="434"/>
      <c r="W173" s="434"/>
    </row>
    <row r="174">
      <c r="A174" s="434"/>
      <c r="B174" s="434"/>
      <c r="C174" s="434"/>
      <c r="D174" s="434"/>
      <c r="E174" s="434"/>
      <c r="F174" s="434"/>
      <c r="G174" s="434"/>
      <c r="H174" s="434"/>
      <c r="I174" s="434"/>
      <c r="J174" s="434"/>
      <c r="K174" s="434"/>
      <c r="L174" s="434"/>
      <c r="M174" s="434"/>
      <c r="N174" s="434"/>
      <c r="O174" s="434"/>
      <c r="P174" s="434"/>
      <c r="Q174" s="434"/>
      <c r="R174" s="434"/>
      <c r="S174" s="434"/>
      <c r="T174" s="434"/>
      <c r="U174" s="434"/>
      <c r="V174" s="434"/>
      <c r="W174" s="434"/>
    </row>
    <row r="175">
      <c r="A175" s="434"/>
      <c r="B175" s="434"/>
      <c r="C175" s="434"/>
      <c r="D175" s="434"/>
      <c r="E175" s="434"/>
      <c r="F175" s="434"/>
      <c r="G175" s="434"/>
      <c r="H175" s="434"/>
      <c r="I175" s="434"/>
      <c r="J175" s="434"/>
      <c r="K175" s="434"/>
      <c r="L175" s="434"/>
      <c r="M175" s="434"/>
      <c r="N175" s="434"/>
      <c r="O175" s="434"/>
      <c r="P175" s="434"/>
      <c r="Q175" s="434"/>
      <c r="R175" s="434"/>
      <c r="S175" s="434"/>
      <c r="T175" s="434"/>
      <c r="U175" s="434"/>
      <c r="V175" s="434"/>
      <c r="W175" s="434"/>
    </row>
    <row r="176">
      <c r="A176" s="434"/>
      <c r="B176" s="434"/>
      <c r="C176" s="434"/>
      <c r="D176" s="434"/>
      <c r="E176" s="434"/>
      <c r="F176" s="434"/>
      <c r="G176" s="434"/>
      <c r="H176" s="434"/>
      <c r="I176" s="434"/>
      <c r="J176" s="434"/>
      <c r="K176" s="434"/>
      <c r="L176" s="434"/>
      <c r="M176" s="434"/>
      <c r="N176" s="434"/>
      <c r="O176" s="434"/>
      <c r="P176" s="434"/>
      <c r="Q176" s="434"/>
      <c r="R176" s="434"/>
      <c r="S176" s="434"/>
      <c r="T176" s="434"/>
      <c r="U176" s="434"/>
      <c r="V176" s="434"/>
      <c r="W176" s="434"/>
    </row>
    <row r="177">
      <c r="A177" s="434"/>
      <c r="B177" s="434"/>
      <c r="C177" s="434"/>
      <c r="D177" s="434"/>
      <c r="E177" s="434"/>
      <c r="F177" s="434"/>
      <c r="G177" s="434"/>
      <c r="H177" s="434"/>
      <c r="I177" s="434"/>
      <c r="J177" s="434"/>
      <c r="K177" s="434"/>
      <c r="L177" s="434"/>
      <c r="M177" s="434"/>
      <c r="N177" s="434"/>
      <c r="O177" s="434"/>
      <c r="P177" s="434"/>
      <c r="Q177" s="434"/>
      <c r="R177" s="434"/>
      <c r="S177" s="434"/>
      <c r="T177" s="434"/>
      <c r="U177" s="434"/>
      <c r="V177" s="434"/>
      <c r="W177" s="434"/>
    </row>
    <row r="178">
      <c r="A178" s="434"/>
      <c r="B178" s="434"/>
      <c r="C178" s="434"/>
      <c r="D178" s="434"/>
      <c r="E178" s="434"/>
      <c r="F178" s="434"/>
      <c r="G178" s="434"/>
      <c r="H178" s="434"/>
      <c r="I178" s="434"/>
      <c r="J178" s="434"/>
      <c r="K178" s="434"/>
      <c r="L178" s="434"/>
      <c r="M178" s="434"/>
      <c r="N178" s="434"/>
      <c r="O178" s="434"/>
      <c r="P178" s="434"/>
      <c r="Q178" s="434"/>
      <c r="R178" s="434"/>
      <c r="S178" s="434"/>
      <c r="T178" s="434"/>
      <c r="U178" s="434"/>
      <c r="V178" s="434"/>
      <c r="W178" s="434"/>
    </row>
    <row r="179">
      <c r="A179" s="434"/>
      <c r="B179" s="434"/>
      <c r="C179" s="434"/>
      <c r="D179" s="434"/>
      <c r="E179" s="434"/>
      <c r="F179" s="434"/>
      <c r="G179" s="434"/>
      <c r="H179" s="434"/>
      <c r="I179" s="434"/>
      <c r="J179" s="434"/>
      <c r="K179" s="434"/>
      <c r="L179" s="434"/>
      <c r="M179" s="434"/>
      <c r="N179" s="434"/>
      <c r="O179" s="434"/>
      <c r="P179" s="434"/>
      <c r="Q179" s="434"/>
      <c r="R179" s="434"/>
      <c r="S179" s="434"/>
      <c r="T179" s="434"/>
      <c r="U179" s="434"/>
      <c r="V179" s="434"/>
      <c r="W179" s="434"/>
    </row>
    <row r="180">
      <c r="A180" s="434"/>
      <c r="B180" s="434"/>
      <c r="C180" s="434"/>
      <c r="D180" s="434"/>
      <c r="E180" s="434"/>
      <c r="F180" s="434"/>
      <c r="G180" s="434"/>
      <c r="H180" s="434"/>
      <c r="I180" s="434"/>
      <c r="J180" s="434"/>
      <c r="K180" s="434"/>
      <c r="L180" s="434"/>
      <c r="M180" s="434"/>
      <c r="N180" s="434"/>
      <c r="O180" s="434"/>
      <c r="P180" s="434"/>
      <c r="Q180" s="434"/>
      <c r="R180" s="434"/>
      <c r="S180" s="434"/>
      <c r="T180" s="434"/>
      <c r="U180" s="434"/>
      <c r="V180" s="434"/>
      <c r="W180" s="434"/>
    </row>
    <row r="181">
      <c r="A181" s="434"/>
      <c r="B181" s="434"/>
      <c r="C181" s="434"/>
      <c r="D181" s="434"/>
      <c r="E181" s="434"/>
      <c r="F181" s="434"/>
      <c r="G181" s="434"/>
      <c r="H181" s="434"/>
      <c r="I181" s="434"/>
      <c r="J181" s="434"/>
      <c r="K181" s="434"/>
      <c r="L181" s="434"/>
      <c r="M181" s="434"/>
      <c r="N181" s="434"/>
      <c r="O181" s="434"/>
      <c r="P181" s="434"/>
      <c r="Q181" s="434"/>
      <c r="R181" s="434"/>
      <c r="S181" s="434"/>
      <c r="T181" s="434"/>
      <c r="U181" s="434"/>
      <c r="V181" s="434"/>
      <c r="W181" s="434"/>
    </row>
    <row r="182">
      <c r="A182" s="434"/>
      <c r="B182" s="434"/>
      <c r="C182" s="434"/>
      <c r="D182" s="434"/>
      <c r="E182" s="434"/>
      <c r="F182" s="434"/>
      <c r="G182" s="434"/>
      <c r="H182" s="434"/>
      <c r="I182" s="434"/>
      <c r="J182" s="434"/>
      <c r="K182" s="434"/>
      <c r="L182" s="434"/>
      <c r="M182" s="434"/>
      <c r="N182" s="434"/>
      <c r="O182" s="434"/>
      <c r="P182" s="434"/>
      <c r="Q182" s="434"/>
      <c r="R182" s="434"/>
      <c r="S182" s="434"/>
      <c r="T182" s="434"/>
      <c r="U182" s="434"/>
      <c r="V182" s="434"/>
      <c r="W182" s="434"/>
    </row>
    <row r="183">
      <c r="A183" s="434"/>
      <c r="B183" s="434"/>
      <c r="C183" s="434"/>
      <c r="D183" s="434"/>
      <c r="E183" s="434"/>
      <c r="F183" s="434"/>
      <c r="G183" s="434"/>
      <c r="H183" s="434"/>
      <c r="I183" s="434"/>
      <c r="J183" s="434"/>
      <c r="K183" s="434"/>
      <c r="L183" s="434"/>
      <c r="M183" s="434"/>
      <c r="N183" s="434"/>
      <c r="O183" s="434"/>
      <c r="P183" s="434"/>
      <c r="Q183" s="434"/>
      <c r="R183" s="434"/>
      <c r="S183" s="434"/>
      <c r="T183" s="434"/>
      <c r="U183" s="434"/>
      <c r="V183" s="434"/>
      <c r="W183" s="434"/>
    </row>
    <row r="184">
      <c r="A184" s="434"/>
      <c r="B184" s="434"/>
      <c r="C184" s="434"/>
      <c r="D184" s="434"/>
      <c r="E184" s="434"/>
      <c r="F184" s="434"/>
      <c r="G184" s="434"/>
      <c r="H184" s="434"/>
      <c r="I184" s="434"/>
      <c r="J184" s="434"/>
      <c r="K184" s="434"/>
      <c r="L184" s="434"/>
      <c r="M184" s="434"/>
      <c r="N184" s="434"/>
      <c r="O184" s="434"/>
      <c r="P184" s="434"/>
      <c r="Q184" s="434"/>
      <c r="R184" s="434"/>
      <c r="S184" s="434"/>
      <c r="T184" s="434"/>
      <c r="U184" s="434"/>
      <c r="V184" s="434"/>
      <c r="W184" s="434"/>
    </row>
    <row r="185">
      <c r="A185" s="434"/>
      <c r="B185" s="434"/>
      <c r="C185" s="434"/>
      <c r="D185" s="434"/>
      <c r="E185" s="434"/>
      <c r="F185" s="434"/>
      <c r="G185" s="434"/>
      <c r="H185" s="434"/>
      <c r="I185" s="434"/>
      <c r="J185" s="434"/>
      <c r="K185" s="434"/>
      <c r="L185" s="434"/>
      <c r="M185" s="434"/>
      <c r="N185" s="434"/>
      <c r="O185" s="434"/>
      <c r="P185" s="434"/>
      <c r="Q185" s="434"/>
      <c r="R185" s="434"/>
      <c r="S185" s="434"/>
      <c r="T185" s="434"/>
      <c r="U185" s="434"/>
      <c r="V185" s="434"/>
      <c r="W185" s="434"/>
    </row>
    <row r="186">
      <c r="A186" s="434"/>
      <c r="B186" s="434"/>
      <c r="C186" s="434"/>
      <c r="D186" s="434"/>
      <c r="E186" s="434"/>
      <c r="F186" s="434"/>
      <c r="G186" s="434"/>
      <c r="H186" s="434"/>
      <c r="I186" s="434"/>
      <c r="J186" s="434"/>
      <c r="K186" s="434"/>
      <c r="L186" s="434"/>
      <c r="M186" s="434"/>
      <c r="N186" s="434"/>
      <c r="O186" s="434"/>
      <c r="P186" s="434"/>
      <c r="Q186" s="434"/>
      <c r="R186" s="434"/>
      <c r="S186" s="434"/>
      <c r="T186" s="434"/>
      <c r="U186" s="434"/>
      <c r="V186" s="434"/>
      <c r="W186" s="434"/>
    </row>
    <row r="187">
      <c r="A187" s="434"/>
      <c r="B187" s="434"/>
      <c r="C187" s="434"/>
      <c r="D187" s="434"/>
      <c r="E187" s="434"/>
      <c r="F187" s="434"/>
      <c r="G187" s="434"/>
      <c r="H187" s="434"/>
      <c r="I187" s="434"/>
      <c r="J187" s="434"/>
      <c r="K187" s="434"/>
      <c r="L187" s="434"/>
      <c r="M187" s="434"/>
      <c r="N187" s="434"/>
      <c r="O187" s="434"/>
      <c r="P187" s="434"/>
      <c r="Q187" s="434"/>
      <c r="R187" s="434"/>
      <c r="S187" s="434"/>
      <c r="T187" s="434"/>
      <c r="U187" s="434"/>
      <c r="V187" s="434"/>
      <c r="W187" s="434"/>
    </row>
    <row r="188">
      <c r="A188" s="434"/>
      <c r="B188" s="434"/>
      <c r="C188" s="434"/>
      <c r="D188" s="434"/>
      <c r="E188" s="434"/>
      <c r="F188" s="434"/>
      <c r="G188" s="434"/>
      <c r="H188" s="434"/>
      <c r="I188" s="434"/>
      <c r="J188" s="434"/>
      <c r="K188" s="434"/>
      <c r="L188" s="434"/>
      <c r="M188" s="434"/>
      <c r="N188" s="434"/>
      <c r="O188" s="434"/>
      <c r="P188" s="434"/>
      <c r="Q188" s="434"/>
      <c r="R188" s="434"/>
      <c r="S188" s="434"/>
      <c r="T188" s="434"/>
      <c r="U188" s="434"/>
      <c r="V188" s="434"/>
      <c r="W188" s="434"/>
    </row>
    <row r="189">
      <c r="A189" s="434"/>
      <c r="B189" s="434"/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</row>
    <row r="190">
      <c r="A190" s="434"/>
      <c r="B190" s="434"/>
      <c r="C190" s="434"/>
      <c r="D190" s="434"/>
      <c r="E190" s="434"/>
      <c r="F190" s="434"/>
      <c r="G190" s="434"/>
      <c r="H190" s="434"/>
      <c r="I190" s="434"/>
      <c r="J190" s="434"/>
      <c r="K190" s="434"/>
      <c r="L190" s="434"/>
      <c r="M190" s="434"/>
      <c r="N190" s="434"/>
      <c r="O190" s="434"/>
      <c r="P190" s="434"/>
      <c r="Q190" s="434"/>
      <c r="R190" s="434"/>
      <c r="S190" s="434"/>
      <c r="T190" s="434"/>
      <c r="U190" s="434"/>
      <c r="V190" s="434"/>
      <c r="W190" s="434"/>
    </row>
    <row r="191">
      <c r="A191" s="434"/>
      <c r="B191" s="434"/>
      <c r="C191" s="434"/>
      <c r="D191" s="434"/>
      <c r="E191" s="434"/>
      <c r="F191" s="434"/>
      <c r="G191" s="434"/>
      <c r="H191" s="434"/>
      <c r="I191" s="434"/>
      <c r="J191" s="434"/>
      <c r="K191" s="434"/>
      <c r="L191" s="434"/>
      <c r="M191" s="434"/>
      <c r="N191" s="434"/>
      <c r="O191" s="434"/>
      <c r="P191" s="434"/>
      <c r="Q191" s="434"/>
      <c r="R191" s="434"/>
      <c r="S191" s="434"/>
      <c r="T191" s="434"/>
      <c r="U191" s="434"/>
      <c r="V191" s="434"/>
      <c r="W191" s="434"/>
    </row>
    <row r="192">
      <c r="A192" s="434"/>
      <c r="B192" s="434"/>
      <c r="C192" s="434"/>
      <c r="D192" s="434"/>
      <c r="E192" s="434"/>
      <c r="F192" s="434"/>
      <c r="G192" s="434"/>
      <c r="H192" s="434"/>
      <c r="I192" s="434"/>
      <c r="J192" s="434"/>
      <c r="K192" s="434"/>
      <c r="L192" s="434"/>
      <c r="M192" s="434"/>
      <c r="N192" s="434"/>
      <c r="O192" s="434"/>
      <c r="P192" s="434"/>
      <c r="Q192" s="434"/>
      <c r="R192" s="434"/>
      <c r="S192" s="434"/>
      <c r="T192" s="434"/>
      <c r="U192" s="434"/>
      <c r="V192" s="434"/>
      <c r="W192" s="434"/>
    </row>
    <row r="193">
      <c r="A193" s="434"/>
      <c r="B193" s="434"/>
      <c r="C193" s="434"/>
      <c r="D193" s="434"/>
      <c r="E193" s="434"/>
      <c r="F193" s="434"/>
      <c r="G193" s="434"/>
      <c r="H193" s="434"/>
      <c r="I193" s="434"/>
      <c r="J193" s="434"/>
      <c r="K193" s="434"/>
      <c r="L193" s="434"/>
      <c r="M193" s="434"/>
      <c r="N193" s="434"/>
      <c r="O193" s="434"/>
      <c r="P193" s="434"/>
      <c r="Q193" s="434"/>
      <c r="R193" s="434"/>
      <c r="S193" s="434"/>
      <c r="T193" s="434"/>
      <c r="U193" s="434"/>
      <c r="V193" s="434"/>
      <c r="W193" s="434"/>
    </row>
    <row r="194">
      <c r="A194" s="434"/>
      <c r="B194" s="434"/>
      <c r="C194" s="434"/>
      <c r="D194" s="434"/>
      <c r="E194" s="434"/>
      <c r="F194" s="434"/>
      <c r="G194" s="434"/>
      <c r="H194" s="434"/>
      <c r="I194" s="434"/>
      <c r="J194" s="434"/>
      <c r="K194" s="434"/>
      <c r="L194" s="434"/>
      <c r="M194" s="434"/>
      <c r="N194" s="434"/>
      <c r="O194" s="434"/>
      <c r="P194" s="434"/>
      <c r="Q194" s="434"/>
      <c r="R194" s="434"/>
      <c r="S194" s="434"/>
      <c r="T194" s="434"/>
      <c r="U194" s="434"/>
      <c r="V194" s="434"/>
      <c r="W194" s="434"/>
    </row>
    <row r="195">
      <c r="A195" s="434"/>
      <c r="B195" s="434"/>
      <c r="C195" s="434"/>
      <c r="D195" s="434"/>
      <c r="E195" s="434"/>
      <c r="F195" s="434"/>
      <c r="G195" s="434"/>
      <c r="H195" s="434"/>
      <c r="I195" s="434"/>
      <c r="J195" s="434"/>
      <c r="K195" s="434"/>
      <c r="L195" s="434"/>
      <c r="M195" s="434"/>
      <c r="N195" s="434"/>
      <c r="O195" s="434"/>
      <c r="P195" s="434"/>
      <c r="Q195" s="434"/>
      <c r="R195" s="434"/>
      <c r="S195" s="434"/>
      <c r="T195" s="434"/>
      <c r="U195" s="434"/>
      <c r="V195" s="434"/>
      <c r="W195" s="434"/>
    </row>
    <row r="196">
      <c r="A196" s="434"/>
      <c r="B196" s="434"/>
      <c r="C196" s="434"/>
      <c r="D196" s="434"/>
      <c r="E196" s="434"/>
      <c r="F196" s="434"/>
      <c r="G196" s="434"/>
      <c r="H196" s="434"/>
      <c r="I196" s="434"/>
      <c r="J196" s="434"/>
      <c r="K196" s="434"/>
      <c r="L196" s="434"/>
      <c r="M196" s="434"/>
      <c r="N196" s="434"/>
      <c r="O196" s="434"/>
      <c r="P196" s="434"/>
      <c r="Q196" s="434"/>
      <c r="R196" s="434"/>
      <c r="S196" s="434"/>
      <c r="T196" s="434"/>
      <c r="U196" s="434"/>
      <c r="V196" s="434"/>
      <c r="W196" s="434"/>
    </row>
    <row r="197">
      <c r="A197" s="434"/>
      <c r="B197" s="434"/>
      <c r="C197" s="434"/>
      <c r="D197" s="434"/>
      <c r="E197" s="434"/>
      <c r="F197" s="434"/>
      <c r="G197" s="434"/>
      <c r="H197" s="434"/>
      <c r="I197" s="434"/>
      <c r="J197" s="434"/>
      <c r="K197" s="434"/>
      <c r="L197" s="434"/>
      <c r="M197" s="434"/>
      <c r="N197" s="434"/>
      <c r="O197" s="434"/>
      <c r="P197" s="434"/>
      <c r="Q197" s="434"/>
      <c r="R197" s="434"/>
      <c r="S197" s="434"/>
      <c r="T197" s="434"/>
      <c r="U197" s="434"/>
      <c r="V197" s="434"/>
      <c r="W197" s="434"/>
    </row>
    <row r="198">
      <c r="A198" s="434"/>
      <c r="B198" s="434"/>
      <c r="C198" s="434"/>
      <c r="D198" s="434"/>
      <c r="E198" s="434"/>
      <c r="F198" s="434"/>
      <c r="G198" s="434"/>
      <c r="H198" s="434"/>
      <c r="I198" s="434"/>
      <c r="J198" s="434"/>
      <c r="K198" s="434"/>
      <c r="L198" s="434"/>
      <c r="M198" s="434"/>
      <c r="N198" s="434"/>
      <c r="O198" s="434"/>
      <c r="P198" s="434"/>
      <c r="Q198" s="434"/>
      <c r="R198" s="434"/>
      <c r="S198" s="434"/>
      <c r="T198" s="434"/>
      <c r="U198" s="434"/>
      <c r="V198" s="434"/>
      <c r="W198" s="434"/>
    </row>
    <row r="199">
      <c r="A199" s="434"/>
      <c r="B199" s="434"/>
      <c r="C199" s="434"/>
      <c r="D199" s="434"/>
      <c r="E199" s="434"/>
      <c r="F199" s="434"/>
      <c r="G199" s="434"/>
      <c r="H199" s="434"/>
      <c r="I199" s="434"/>
      <c r="J199" s="434"/>
      <c r="K199" s="434"/>
      <c r="L199" s="434"/>
      <c r="M199" s="434"/>
      <c r="N199" s="434"/>
      <c r="O199" s="434"/>
      <c r="P199" s="434"/>
      <c r="Q199" s="434"/>
      <c r="R199" s="434"/>
      <c r="S199" s="434"/>
      <c r="T199" s="434"/>
      <c r="U199" s="434"/>
      <c r="V199" s="434"/>
      <c r="W199" s="434"/>
    </row>
    <row r="200">
      <c r="A200" s="434"/>
      <c r="B200" s="434"/>
      <c r="C200" s="434"/>
      <c r="D200" s="434"/>
      <c r="E200" s="434"/>
      <c r="F200" s="434"/>
      <c r="G200" s="434"/>
      <c r="H200" s="434"/>
      <c r="I200" s="434"/>
      <c r="J200" s="434"/>
      <c r="K200" s="434"/>
      <c r="L200" s="434"/>
      <c r="M200" s="434"/>
      <c r="N200" s="434"/>
      <c r="O200" s="434"/>
      <c r="P200" s="434"/>
      <c r="Q200" s="434"/>
      <c r="R200" s="434"/>
      <c r="S200" s="434"/>
      <c r="T200" s="434"/>
      <c r="U200" s="434"/>
      <c r="V200" s="434"/>
      <c r="W200" s="434"/>
    </row>
    <row r="201">
      <c r="A201" s="434"/>
      <c r="B201" s="434"/>
      <c r="C201" s="434"/>
      <c r="D201" s="434"/>
      <c r="E201" s="434"/>
      <c r="F201" s="434"/>
      <c r="G201" s="434"/>
      <c r="H201" s="434"/>
      <c r="I201" s="434"/>
      <c r="J201" s="434"/>
      <c r="K201" s="434"/>
      <c r="L201" s="434"/>
      <c r="M201" s="434"/>
      <c r="N201" s="434"/>
      <c r="O201" s="434"/>
      <c r="P201" s="434"/>
      <c r="Q201" s="434"/>
      <c r="R201" s="434"/>
      <c r="S201" s="434"/>
      <c r="T201" s="434"/>
      <c r="U201" s="434"/>
      <c r="V201" s="434"/>
      <c r="W201" s="434"/>
    </row>
    <row r="202">
      <c r="A202" s="434"/>
      <c r="B202" s="434"/>
      <c r="C202" s="434"/>
      <c r="D202" s="434"/>
      <c r="E202" s="434"/>
      <c r="F202" s="434"/>
      <c r="G202" s="434"/>
      <c r="H202" s="434"/>
      <c r="I202" s="434"/>
      <c r="J202" s="434"/>
      <c r="K202" s="434"/>
      <c r="L202" s="434"/>
      <c r="M202" s="434"/>
      <c r="N202" s="434"/>
      <c r="O202" s="434"/>
      <c r="P202" s="434"/>
      <c r="Q202" s="434"/>
      <c r="R202" s="434"/>
      <c r="S202" s="434"/>
      <c r="T202" s="434"/>
      <c r="U202" s="434"/>
      <c r="V202" s="434"/>
      <c r="W202" s="434"/>
    </row>
    <row r="203">
      <c r="A203" s="434"/>
      <c r="B203" s="434"/>
      <c r="C203" s="434"/>
      <c r="D203" s="434"/>
      <c r="E203" s="434"/>
      <c r="F203" s="434"/>
      <c r="G203" s="434"/>
      <c r="H203" s="434"/>
      <c r="I203" s="434"/>
      <c r="J203" s="434"/>
      <c r="K203" s="434"/>
      <c r="L203" s="434"/>
      <c r="M203" s="434"/>
      <c r="N203" s="434"/>
      <c r="O203" s="434"/>
      <c r="P203" s="434"/>
      <c r="Q203" s="434"/>
      <c r="R203" s="434"/>
      <c r="S203" s="434"/>
      <c r="T203" s="434"/>
      <c r="U203" s="434"/>
      <c r="V203" s="434"/>
      <c r="W203" s="434"/>
    </row>
    <row r="204">
      <c r="A204" s="434"/>
      <c r="B204" s="434"/>
      <c r="C204" s="434"/>
      <c r="D204" s="434"/>
      <c r="E204" s="434"/>
      <c r="F204" s="434"/>
      <c r="G204" s="434"/>
      <c r="H204" s="434"/>
      <c r="I204" s="434"/>
      <c r="J204" s="434"/>
      <c r="K204" s="434"/>
      <c r="L204" s="434"/>
      <c r="M204" s="434"/>
      <c r="N204" s="434"/>
      <c r="O204" s="434"/>
      <c r="P204" s="434"/>
      <c r="Q204" s="434"/>
      <c r="R204" s="434"/>
      <c r="S204" s="434"/>
      <c r="T204" s="434"/>
      <c r="U204" s="434"/>
      <c r="V204" s="434"/>
      <c r="W204" s="434"/>
    </row>
    <row r="205">
      <c r="A205" s="434"/>
      <c r="B205" s="434"/>
      <c r="C205" s="434"/>
      <c r="D205" s="434"/>
      <c r="E205" s="434"/>
      <c r="F205" s="434"/>
      <c r="G205" s="434"/>
      <c r="H205" s="434"/>
      <c r="I205" s="434"/>
      <c r="J205" s="434"/>
      <c r="K205" s="434"/>
      <c r="L205" s="434"/>
      <c r="M205" s="434"/>
      <c r="N205" s="434"/>
      <c r="O205" s="434"/>
      <c r="P205" s="434"/>
      <c r="Q205" s="434"/>
      <c r="R205" s="434"/>
      <c r="S205" s="434"/>
      <c r="T205" s="434"/>
      <c r="U205" s="434"/>
      <c r="V205" s="434"/>
      <c r="W205" s="434"/>
    </row>
    <row r="206">
      <c r="A206" s="434"/>
      <c r="B206" s="434"/>
      <c r="C206" s="434"/>
      <c r="D206" s="434"/>
      <c r="E206" s="434"/>
      <c r="F206" s="434"/>
      <c r="G206" s="434"/>
      <c r="H206" s="434"/>
      <c r="I206" s="434"/>
      <c r="J206" s="434"/>
      <c r="K206" s="434"/>
      <c r="L206" s="434"/>
      <c r="M206" s="434"/>
      <c r="N206" s="434"/>
      <c r="O206" s="434"/>
      <c r="P206" s="434"/>
      <c r="Q206" s="434"/>
      <c r="R206" s="434"/>
      <c r="S206" s="434"/>
      <c r="T206" s="434"/>
      <c r="U206" s="434"/>
      <c r="V206" s="434"/>
      <c r="W206" s="434"/>
    </row>
    <row r="207">
      <c r="A207" s="434"/>
      <c r="B207" s="434"/>
      <c r="C207" s="434"/>
      <c r="D207" s="434"/>
      <c r="E207" s="434"/>
      <c r="F207" s="434"/>
      <c r="G207" s="434"/>
      <c r="H207" s="434"/>
      <c r="I207" s="434"/>
      <c r="J207" s="434"/>
      <c r="K207" s="434"/>
      <c r="L207" s="434"/>
      <c r="M207" s="434"/>
      <c r="N207" s="434"/>
      <c r="O207" s="434"/>
      <c r="P207" s="434"/>
      <c r="Q207" s="434"/>
      <c r="R207" s="434"/>
      <c r="S207" s="434"/>
      <c r="T207" s="434"/>
      <c r="U207" s="434"/>
      <c r="V207" s="434"/>
      <c r="W207" s="434"/>
    </row>
    <row r="208">
      <c r="A208" s="434"/>
      <c r="B208" s="434"/>
      <c r="C208" s="434"/>
      <c r="D208" s="434"/>
      <c r="E208" s="434"/>
      <c r="F208" s="434"/>
      <c r="G208" s="434"/>
      <c r="H208" s="434"/>
      <c r="I208" s="434"/>
      <c r="J208" s="434"/>
      <c r="K208" s="434"/>
      <c r="L208" s="434"/>
      <c r="M208" s="434"/>
      <c r="N208" s="434"/>
      <c r="O208" s="434"/>
      <c r="P208" s="434"/>
      <c r="Q208" s="434"/>
      <c r="R208" s="434"/>
      <c r="S208" s="434"/>
      <c r="T208" s="434"/>
      <c r="U208" s="434"/>
      <c r="V208" s="434"/>
      <c r="W208" s="434"/>
    </row>
    <row r="209">
      <c r="A209" s="434"/>
      <c r="B209" s="434"/>
      <c r="C209" s="434"/>
      <c r="D209" s="434"/>
      <c r="E209" s="434"/>
      <c r="F209" s="434"/>
      <c r="G209" s="434"/>
      <c r="H209" s="434"/>
      <c r="I209" s="434"/>
      <c r="J209" s="434"/>
      <c r="K209" s="434"/>
      <c r="L209" s="434"/>
      <c r="M209" s="434"/>
      <c r="N209" s="434"/>
      <c r="O209" s="434"/>
      <c r="P209" s="434"/>
      <c r="Q209" s="434"/>
      <c r="R209" s="434"/>
      <c r="S209" s="434"/>
      <c r="T209" s="434"/>
      <c r="U209" s="434"/>
      <c r="V209" s="434"/>
      <c r="W209" s="434"/>
    </row>
    <row r="210">
      <c r="A210" s="434"/>
      <c r="B210" s="434"/>
      <c r="C210" s="434"/>
      <c r="D210" s="434"/>
      <c r="E210" s="434"/>
      <c r="F210" s="434"/>
      <c r="G210" s="434"/>
      <c r="H210" s="434"/>
      <c r="I210" s="434"/>
      <c r="J210" s="434"/>
      <c r="K210" s="434"/>
      <c r="L210" s="434"/>
      <c r="M210" s="434"/>
      <c r="N210" s="434"/>
      <c r="O210" s="434"/>
      <c r="P210" s="434"/>
      <c r="Q210" s="434"/>
      <c r="R210" s="434"/>
      <c r="S210" s="434"/>
      <c r="T210" s="434"/>
      <c r="U210" s="434"/>
      <c r="V210" s="434"/>
      <c r="W210" s="434"/>
    </row>
    <row r="211">
      <c r="A211" s="434"/>
      <c r="B211" s="434"/>
      <c r="C211" s="434"/>
      <c r="D211" s="434"/>
      <c r="E211" s="434"/>
      <c r="F211" s="434"/>
      <c r="G211" s="434"/>
      <c r="H211" s="434"/>
      <c r="I211" s="434"/>
      <c r="J211" s="434"/>
      <c r="K211" s="434"/>
      <c r="L211" s="434"/>
      <c r="M211" s="434"/>
      <c r="N211" s="434"/>
      <c r="O211" s="434"/>
      <c r="P211" s="434"/>
      <c r="Q211" s="434"/>
      <c r="R211" s="434"/>
      <c r="S211" s="434"/>
      <c r="T211" s="434"/>
      <c r="U211" s="434"/>
      <c r="V211" s="434"/>
      <c r="W211" s="434"/>
    </row>
    <row r="212">
      <c r="A212" s="434"/>
      <c r="B212" s="434"/>
      <c r="C212" s="434"/>
      <c r="D212" s="434"/>
      <c r="E212" s="434"/>
      <c r="F212" s="434"/>
      <c r="G212" s="434"/>
      <c r="H212" s="434"/>
      <c r="I212" s="434"/>
      <c r="J212" s="434"/>
      <c r="K212" s="434"/>
      <c r="L212" s="434"/>
      <c r="M212" s="434"/>
      <c r="N212" s="434"/>
      <c r="O212" s="434"/>
      <c r="P212" s="434"/>
      <c r="Q212" s="434"/>
      <c r="R212" s="434"/>
      <c r="S212" s="434"/>
      <c r="T212" s="434"/>
      <c r="U212" s="434"/>
      <c r="V212" s="434"/>
      <c r="W212" s="434"/>
    </row>
    <row r="213">
      <c r="A213" s="434"/>
      <c r="B213" s="434"/>
      <c r="C213" s="434"/>
      <c r="D213" s="434"/>
      <c r="E213" s="434"/>
      <c r="F213" s="434"/>
      <c r="G213" s="434"/>
      <c r="H213" s="434"/>
      <c r="I213" s="434"/>
      <c r="J213" s="434"/>
      <c r="K213" s="434"/>
      <c r="L213" s="434"/>
      <c r="M213" s="434"/>
      <c r="N213" s="434"/>
      <c r="O213" s="434"/>
      <c r="P213" s="434"/>
      <c r="Q213" s="434"/>
      <c r="R213" s="434"/>
      <c r="S213" s="434"/>
      <c r="T213" s="434"/>
      <c r="U213" s="434"/>
      <c r="V213" s="434"/>
      <c r="W213" s="434"/>
    </row>
    <row r="214">
      <c r="A214" s="434"/>
      <c r="B214" s="434"/>
      <c r="C214" s="434"/>
      <c r="D214" s="434"/>
      <c r="E214" s="434"/>
      <c r="F214" s="434"/>
      <c r="G214" s="434"/>
      <c r="H214" s="434"/>
      <c r="I214" s="434"/>
      <c r="J214" s="434"/>
      <c r="K214" s="434"/>
      <c r="L214" s="434"/>
      <c r="M214" s="434"/>
      <c r="N214" s="434"/>
      <c r="O214" s="434"/>
      <c r="P214" s="434"/>
      <c r="Q214" s="434"/>
      <c r="R214" s="434"/>
      <c r="S214" s="434"/>
      <c r="T214" s="434"/>
      <c r="U214" s="434"/>
      <c r="V214" s="434"/>
      <c r="W214" s="434"/>
    </row>
    <row r="215">
      <c r="A215" s="434"/>
      <c r="B215" s="434"/>
      <c r="C215" s="434"/>
      <c r="D215" s="434"/>
      <c r="E215" s="434"/>
      <c r="F215" s="434"/>
      <c r="G215" s="434"/>
      <c r="H215" s="434"/>
      <c r="I215" s="434"/>
      <c r="J215" s="434"/>
      <c r="K215" s="434"/>
      <c r="L215" s="434"/>
      <c r="M215" s="434"/>
      <c r="N215" s="434"/>
      <c r="O215" s="434"/>
      <c r="P215" s="434"/>
      <c r="Q215" s="434"/>
      <c r="R215" s="434"/>
      <c r="S215" s="434"/>
      <c r="T215" s="434"/>
      <c r="U215" s="434"/>
      <c r="V215" s="434"/>
      <c r="W215" s="434"/>
    </row>
    <row r="216">
      <c r="A216" s="434"/>
      <c r="B216" s="434"/>
      <c r="C216" s="434"/>
      <c r="D216" s="434"/>
      <c r="E216" s="434"/>
      <c r="F216" s="434"/>
      <c r="G216" s="434"/>
      <c r="H216" s="434"/>
      <c r="I216" s="434"/>
      <c r="J216" s="434"/>
      <c r="K216" s="434"/>
      <c r="L216" s="434"/>
      <c r="M216" s="434"/>
      <c r="N216" s="434"/>
      <c r="O216" s="434"/>
      <c r="P216" s="434"/>
      <c r="Q216" s="434"/>
      <c r="R216" s="434"/>
      <c r="S216" s="434"/>
      <c r="T216" s="434"/>
      <c r="U216" s="434"/>
      <c r="V216" s="434"/>
      <c r="W216" s="434"/>
    </row>
    <row r="217">
      <c r="A217" s="434"/>
      <c r="B217" s="434"/>
      <c r="C217" s="434"/>
      <c r="D217" s="434"/>
      <c r="E217" s="434"/>
      <c r="F217" s="434"/>
      <c r="G217" s="434"/>
      <c r="H217" s="434"/>
      <c r="I217" s="434"/>
      <c r="J217" s="434"/>
      <c r="K217" s="434"/>
      <c r="L217" s="434"/>
      <c r="M217" s="434"/>
      <c r="N217" s="434"/>
      <c r="O217" s="434"/>
      <c r="P217" s="434"/>
      <c r="Q217" s="434"/>
      <c r="R217" s="434"/>
      <c r="S217" s="434"/>
      <c r="T217" s="434"/>
      <c r="U217" s="434"/>
      <c r="V217" s="434"/>
      <c r="W217" s="434"/>
    </row>
    <row r="218">
      <c r="A218" s="434"/>
      <c r="B218" s="434"/>
      <c r="C218" s="434"/>
      <c r="D218" s="434"/>
      <c r="E218" s="434"/>
      <c r="F218" s="434"/>
      <c r="G218" s="434"/>
      <c r="H218" s="434"/>
      <c r="I218" s="434"/>
      <c r="J218" s="434"/>
      <c r="K218" s="434"/>
      <c r="L218" s="434"/>
      <c r="M218" s="434"/>
      <c r="N218" s="434"/>
      <c r="O218" s="434"/>
      <c r="P218" s="434"/>
      <c r="Q218" s="434"/>
      <c r="R218" s="434"/>
      <c r="S218" s="434"/>
      <c r="T218" s="434"/>
      <c r="U218" s="434"/>
      <c r="V218" s="434"/>
      <c r="W218" s="434"/>
    </row>
    <row r="219">
      <c r="A219" s="434"/>
      <c r="B219" s="434"/>
      <c r="C219" s="434"/>
      <c r="D219" s="434"/>
      <c r="E219" s="434"/>
      <c r="F219" s="434"/>
      <c r="G219" s="434"/>
      <c r="H219" s="434"/>
      <c r="I219" s="434"/>
      <c r="J219" s="434"/>
      <c r="K219" s="434"/>
      <c r="L219" s="434"/>
      <c r="M219" s="434"/>
      <c r="N219" s="434"/>
      <c r="O219" s="434"/>
      <c r="P219" s="434"/>
      <c r="Q219" s="434"/>
      <c r="R219" s="434"/>
      <c r="S219" s="434"/>
      <c r="T219" s="434"/>
      <c r="U219" s="434"/>
      <c r="V219" s="434"/>
      <c r="W219" s="434"/>
    </row>
    <row r="220">
      <c r="A220" s="434"/>
      <c r="B220" s="434"/>
      <c r="C220" s="434"/>
      <c r="D220" s="434"/>
      <c r="E220" s="434"/>
      <c r="F220" s="434"/>
      <c r="G220" s="434"/>
      <c r="H220" s="434"/>
      <c r="I220" s="434"/>
      <c r="J220" s="434"/>
      <c r="K220" s="434"/>
      <c r="L220" s="434"/>
      <c r="M220" s="434"/>
      <c r="N220" s="434"/>
      <c r="O220" s="434"/>
      <c r="P220" s="434"/>
      <c r="Q220" s="434"/>
      <c r="R220" s="434"/>
      <c r="S220" s="434"/>
      <c r="T220" s="434"/>
      <c r="U220" s="434"/>
      <c r="V220" s="434"/>
      <c r="W220" s="434"/>
    </row>
    <row r="221">
      <c r="A221" s="434"/>
      <c r="B221" s="434"/>
      <c r="C221" s="434"/>
      <c r="D221" s="434"/>
      <c r="E221" s="434"/>
      <c r="F221" s="434"/>
      <c r="G221" s="434"/>
      <c r="H221" s="434"/>
      <c r="I221" s="434"/>
      <c r="J221" s="434"/>
      <c r="K221" s="434"/>
      <c r="L221" s="434"/>
      <c r="M221" s="434"/>
      <c r="N221" s="434"/>
      <c r="O221" s="434"/>
      <c r="P221" s="434"/>
      <c r="Q221" s="434"/>
      <c r="R221" s="434"/>
      <c r="S221" s="434"/>
      <c r="T221" s="434"/>
      <c r="U221" s="434"/>
      <c r="V221" s="434"/>
      <c r="W221" s="434"/>
    </row>
    <row r="222">
      <c r="A222" s="434"/>
      <c r="B222" s="434"/>
      <c r="C222" s="434"/>
      <c r="D222" s="434"/>
      <c r="E222" s="434"/>
      <c r="F222" s="434"/>
      <c r="G222" s="434"/>
      <c r="H222" s="434"/>
      <c r="I222" s="434"/>
      <c r="J222" s="434"/>
      <c r="K222" s="434"/>
      <c r="L222" s="434"/>
      <c r="M222" s="434"/>
      <c r="N222" s="434"/>
      <c r="O222" s="434"/>
      <c r="P222" s="434"/>
      <c r="Q222" s="434"/>
      <c r="R222" s="434"/>
      <c r="S222" s="434"/>
      <c r="T222" s="434"/>
      <c r="U222" s="434"/>
      <c r="V222" s="434"/>
      <c r="W222" s="434"/>
    </row>
    <row r="223">
      <c r="A223" s="434"/>
      <c r="B223" s="434"/>
      <c r="C223" s="434"/>
      <c r="D223" s="434"/>
      <c r="E223" s="434"/>
      <c r="F223" s="434"/>
      <c r="G223" s="434"/>
      <c r="H223" s="434"/>
      <c r="I223" s="434"/>
      <c r="J223" s="434"/>
      <c r="K223" s="434"/>
      <c r="L223" s="434"/>
      <c r="M223" s="434"/>
      <c r="N223" s="434"/>
      <c r="O223" s="434"/>
      <c r="P223" s="434"/>
      <c r="Q223" s="434"/>
      <c r="R223" s="434"/>
      <c r="S223" s="434"/>
      <c r="T223" s="434"/>
      <c r="U223" s="434"/>
      <c r="V223" s="434"/>
      <c r="W223" s="434"/>
    </row>
    <row r="224">
      <c r="A224" s="434"/>
      <c r="B224" s="434"/>
      <c r="C224" s="434"/>
      <c r="D224" s="434"/>
      <c r="E224" s="434"/>
      <c r="F224" s="434"/>
      <c r="G224" s="434"/>
      <c r="H224" s="434"/>
      <c r="I224" s="434"/>
      <c r="J224" s="434"/>
      <c r="K224" s="434"/>
      <c r="L224" s="434"/>
      <c r="M224" s="434"/>
      <c r="N224" s="434"/>
      <c r="O224" s="434"/>
      <c r="P224" s="434"/>
      <c r="Q224" s="434"/>
      <c r="R224" s="434"/>
      <c r="S224" s="434"/>
      <c r="T224" s="434"/>
      <c r="U224" s="434"/>
      <c r="V224" s="434"/>
      <c r="W224" s="434"/>
    </row>
    <row r="225">
      <c r="A225" s="434"/>
      <c r="B225" s="434"/>
      <c r="C225" s="434"/>
      <c r="D225" s="434"/>
      <c r="E225" s="434"/>
      <c r="F225" s="434"/>
      <c r="G225" s="434"/>
      <c r="H225" s="434"/>
      <c r="I225" s="434"/>
      <c r="J225" s="434"/>
      <c r="K225" s="434"/>
      <c r="L225" s="434"/>
      <c r="M225" s="434"/>
      <c r="N225" s="434"/>
      <c r="O225" s="434"/>
      <c r="P225" s="434"/>
      <c r="Q225" s="434"/>
      <c r="R225" s="434"/>
      <c r="S225" s="434"/>
      <c r="T225" s="434"/>
      <c r="U225" s="434"/>
      <c r="V225" s="434"/>
      <c r="W225" s="434"/>
    </row>
    <row r="226">
      <c r="A226" s="434"/>
      <c r="B226" s="434"/>
      <c r="C226" s="434"/>
      <c r="D226" s="434"/>
      <c r="E226" s="434"/>
      <c r="F226" s="434"/>
      <c r="G226" s="434"/>
      <c r="H226" s="434"/>
      <c r="I226" s="434"/>
      <c r="J226" s="434"/>
      <c r="K226" s="434"/>
      <c r="L226" s="434"/>
      <c r="M226" s="434"/>
      <c r="N226" s="434"/>
      <c r="O226" s="434"/>
      <c r="P226" s="434"/>
      <c r="Q226" s="434"/>
      <c r="R226" s="434"/>
      <c r="S226" s="434"/>
      <c r="T226" s="434"/>
      <c r="U226" s="434"/>
      <c r="V226" s="434"/>
      <c r="W226" s="434"/>
    </row>
    <row r="227">
      <c r="A227" s="434"/>
      <c r="B227" s="434"/>
      <c r="C227" s="434"/>
      <c r="D227" s="434"/>
      <c r="E227" s="434"/>
      <c r="F227" s="434"/>
      <c r="G227" s="434"/>
      <c r="H227" s="434"/>
      <c r="I227" s="434"/>
      <c r="J227" s="434"/>
      <c r="K227" s="434"/>
      <c r="L227" s="434"/>
      <c r="M227" s="434"/>
      <c r="N227" s="434"/>
      <c r="O227" s="434"/>
      <c r="P227" s="434"/>
      <c r="Q227" s="434"/>
      <c r="R227" s="434"/>
      <c r="S227" s="434"/>
      <c r="T227" s="434"/>
      <c r="U227" s="434"/>
      <c r="V227" s="434"/>
      <c r="W227" s="434"/>
    </row>
    <row r="228">
      <c r="A228" s="434"/>
      <c r="B228" s="434"/>
      <c r="C228" s="434"/>
      <c r="D228" s="434"/>
      <c r="E228" s="434"/>
      <c r="F228" s="434"/>
      <c r="G228" s="434"/>
      <c r="H228" s="434"/>
      <c r="I228" s="434"/>
      <c r="J228" s="434"/>
      <c r="K228" s="434"/>
      <c r="L228" s="434"/>
      <c r="M228" s="434"/>
      <c r="N228" s="434"/>
      <c r="O228" s="434"/>
      <c r="P228" s="434"/>
      <c r="Q228" s="434"/>
      <c r="R228" s="434"/>
      <c r="S228" s="434"/>
      <c r="T228" s="434"/>
      <c r="U228" s="434"/>
      <c r="V228" s="434"/>
      <c r="W228" s="434"/>
    </row>
    <row r="229">
      <c r="A229" s="434"/>
      <c r="B229" s="434"/>
      <c r="C229" s="434"/>
      <c r="D229" s="434"/>
      <c r="E229" s="434"/>
      <c r="F229" s="434"/>
      <c r="G229" s="434"/>
      <c r="H229" s="434"/>
      <c r="I229" s="434"/>
      <c r="J229" s="434"/>
      <c r="K229" s="434"/>
      <c r="L229" s="434"/>
      <c r="M229" s="434"/>
      <c r="N229" s="434"/>
      <c r="O229" s="434"/>
      <c r="P229" s="434"/>
      <c r="Q229" s="434"/>
      <c r="R229" s="434"/>
      <c r="S229" s="434"/>
      <c r="T229" s="434"/>
      <c r="U229" s="434"/>
      <c r="V229" s="434"/>
      <c r="W229" s="434"/>
    </row>
    <row r="230">
      <c r="A230" s="434"/>
      <c r="B230" s="434"/>
      <c r="C230" s="434"/>
      <c r="D230" s="434"/>
      <c r="E230" s="434"/>
      <c r="F230" s="434"/>
      <c r="G230" s="434"/>
      <c r="H230" s="434"/>
      <c r="I230" s="434"/>
      <c r="J230" s="434"/>
      <c r="K230" s="434"/>
      <c r="L230" s="434"/>
      <c r="M230" s="434"/>
      <c r="N230" s="434"/>
      <c r="O230" s="434"/>
      <c r="P230" s="434"/>
      <c r="Q230" s="434"/>
      <c r="R230" s="434"/>
      <c r="S230" s="434"/>
      <c r="T230" s="434"/>
      <c r="U230" s="434"/>
      <c r="V230" s="434"/>
      <c r="W230" s="434"/>
    </row>
    <row r="231">
      <c r="A231" s="434"/>
      <c r="B231" s="434"/>
      <c r="C231" s="434"/>
      <c r="D231" s="434"/>
      <c r="E231" s="434"/>
      <c r="F231" s="434"/>
      <c r="G231" s="434"/>
      <c r="H231" s="434"/>
      <c r="I231" s="434"/>
      <c r="J231" s="434"/>
      <c r="K231" s="434"/>
      <c r="L231" s="434"/>
      <c r="M231" s="434"/>
      <c r="N231" s="434"/>
      <c r="O231" s="434"/>
      <c r="P231" s="434"/>
      <c r="Q231" s="434"/>
      <c r="R231" s="434"/>
      <c r="S231" s="434"/>
      <c r="T231" s="434"/>
      <c r="U231" s="434"/>
      <c r="V231" s="434"/>
      <c r="W231" s="434"/>
    </row>
    <row r="232">
      <c r="A232" s="434"/>
      <c r="B232" s="434"/>
      <c r="C232" s="434"/>
      <c r="D232" s="434"/>
      <c r="E232" s="434"/>
      <c r="F232" s="434"/>
      <c r="G232" s="434"/>
      <c r="H232" s="434"/>
      <c r="I232" s="434"/>
      <c r="J232" s="434"/>
      <c r="K232" s="434"/>
      <c r="L232" s="434"/>
      <c r="M232" s="434"/>
      <c r="N232" s="434"/>
      <c r="O232" s="434"/>
      <c r="P232" s="434"/>
      <c r="Q232" s="434"/>
      <c r="R232" s="434"/>
      <c r="S232" s="434"/>
      <c r="T232" s="434"/>
      <c r="U232" s="434"/>
      <c r="V232" s="434"/>
      <c r="W232" s="434"/>
    </row>
    <row r="233">
      <c r="A233" s="434"/>
      <c r="B233" s="434"/>
      <c r="C233" s="434"/>
      <c r="D233" s="434"/>
      <c r="E233" s="434"/>
      <c r="F233" s="434"/>
      <c r="G233" s="434"/>
      <c r="H233" s="434"/>
      <c r="I233" s="434"/>
      <c r="J233" s="434"/>
      <c r="K233" s="434"/>
      <c r="L233" s="434"/>
      <c r="M233" s="434"/>
      <c r="N233" s="434"/>
      <c r="O233" s="434"/>
      <c r="P233" s="434"/>
      <c r="Q233" s="434"/>
      <c r="R233" s="434"/>
      <c r="S233" s="434"/>
      <c r="T233" s="434"/>
      <c r="U233" s="434"/>
      <c r="V233" s="434"/>
      <c r="W233" s="434"/>
    </row>
    <row r="234">
      <c r="A234" s="434"/>
      <c r="B234" s="434"/>
      <c r="C234" s="434"/>
      <c r="D234" s="434"/>
      <c r="E234" s="434"/>
      <c r="F234" s="434"/>
      <c r="G234" s="434"/>
      <c r="H234" s="434"/>
      <c r="I234" s="434"/>
      <c r="J234" s="434"/>
      <c r="K234" s="434"/>
      <c r="L234" s="434"/>
      <c r="M234" s="434"/>
      <c r="N234" s="434"/>
      <c r="O234" s="434"/>
      <c r="P234" s="434"/>
      <c r="Q234" s="434"/>
      <c r="R234" s="434"/>
      <c r="S234" s="434"/>
      <c r="T234" s="434"/>
      <c r="U234" s="434"/>
      <c r="V234" s="434"/>
      <c r="W234" s="434"/>
    </row>
    <row r="235">
      <c r="A235" s="434"/>
      <c r="B235" s="434"/>
      <c r="C235" s="434"/>
      <c r="D235" s="434"/>
      <c r="E235" s="434"/>
      <c r="F235" s="434"/>
      <c r="G235" s="434"/>
      <c r="H235" s="434"/>
      <c r="I235" s="434"/>
      <c r="J235" s="434"/>
      <c r="K235" s="434"/>
      <c r="L235" s="434"/>
      <c r="M235" s="434"/>
      <c r="N235" s="434"/>
      <c r="O235" s="434"/>
      <c r="P235" s="434"/>
      <c r="Q235" s="434"/>
      <c r="R235" s="434"/>
      <c r="S235" s="434"/>
      <c r="T235" s="434"/>
      <c r="U235" s="434"/>
      <c r="V235" s="434"/>
      <c r="W235" s="434"/>
    </row>
    <row r="236">
      <c r="A236" s="434"/>
      <c r="B236" s="434"/>
      <c r="C236" s="434"/>
      <c r="D236" s="434"/>
      <c r="E236" s="434"/>
      <c r="F236" s="434"/>
      <c r="G236" s="434"/>
      <c r="H236" s="434"/>
      <c r="I236" s="434"/>
      <c r="J236" s="434"/>
      <c r="K236" s="434"/>
      <c r="L236" s="434"/>
      <c r="M236" s="434"/>
      <c r="N236" s="434"/>
      <c r="O236" s="434"/>
      <c r="P236" s="434"/>
      <c r="Q236" s="434"/>
      <c r="R236" s="434"/>
      <c r="S236" s="434"/>
      <c r="T236" s="434"/>
      <c r="U236" s="434"/>
      <c r="V236" s="434"/>
      <c r="W236" s="434"/>
    </row>
    <row r="237">
      <c r="A237" s="434"/>
      <c r="B237" s="434"/>
      <c r="C237" s="434"/>
      <c r="D237" s="434"/>
      <c r="E237" s="434"/>
      <c r="F237" s="434"/>
      <c r="G237" s="434"/>
      <c r="H237" s="434"/>
      <c r="I237" s="434"/>
      <c r="J237" s="434"/>
      <c r="K237" s="434"/>
      <c r="L237" s="434"/>
      <c r="M237" s="434"/>
      <c r="N237" s="434"/>
      <c r="O237" s="434"/>
      <c r="P237" s="434"/>
      <c r="Q237" s="434"/>
      <c r="R237" s="434"/>
      <c r="S237" s="434"/>
      <c r="T237" s="434"/>
      <c r="U237" s="434"/>
      <c r="V237" s="434"/>
      <c r="W237" s="434"/>
    </row>
    <row r="238">
      <c r="A238" s="434"/>
      <c r="B238" s="434"/>
      <c r="C238" s="434"/>
      <c r="D238" s="434"/>
      <c r="E238" s="434"/>
      <c r="F238" s="434"/>
      <c r="G238" s="434"/>
      <c r="H238" s="434"/>
      <c r="I238" s="434"/>
      <c r="J238" s="434"/>
      <c r="K238" s="434"/>
      <c r="L238" s="434"/>
      <c r="M238" s="434"/>
      <c r="N238" s="434"/>
      <c r="O238" s="434"/>
      <c r="P238" s="434"/>
      <c r="Q238" s="434"/>
      <c r="R238" s="434"/>
      <c r="S238" s="434"/>
      <c r="T238" s="434"/>
      <c r="U238" s="434"/>
      <c r="V238" s="434"/>
      <c r="W238" s="434"/>
    </row>
    <row r="239">
      <c r="A239" s="434"/>
      <c r="B239" s="434"/>
      <c r="C239" s="434"/>
      <c r="D239" s="434"/>
      <c r="E239" s="434"/>
      <c r="F239" s="434"/>
      <c r="G239" s="434"/>
      <c r="H239" s="434"/>
      <c r="I239" s="434"/>
      <c r="J239" s="434"/>
      <c r="K239" s="434"/>
      <c r="L239" s="434"/>
      <c r="M239" s="434"/>
      <c r="N239" s="434"/>
      <c r="O239" s="434"/>
      <c r="P239" s="434"/>
      <c r="Q239" s="434"/>
      <c r="R239" s="434"/>
      <c r="S239" s="434"/>
      <c r="T239" s="434"/>
      <c r="U239" s="434"/>
      <c r="V239" s="434"/>
      <c r="W239" s="434"/>
    </row>
    <row r="240">
      <c r="A240" s="434"/>
      <c r="B240" s="434"/>
      <c r="C240" s="434"/>
      <c r="D240" s="434"/>
      <c r="E240" s="434"/>
      <c r="F240" s="434"/>
      <c r="G240" s="434"/>
      <c r="H240" s="434"/>
      <c r="I240" s="434"/>
      <c r="J240" s="434"/>
      <c r="K240" s="434"/>
      <c r="L240" s="434"/>
      <c r="M240" s="434"/>
      <c r="N240" s="434"/>
      <c r="O240" s="434"/>
      <c r="P240" s="434"/>
      <c r="Q240" s="434"/>
      <c r="R240" s="434"/>
      <c r="S240" s="434"/>
      <c r="T240" s="434"/>
      <c r="U240" s="434"/>
      <c r="V240" s="434"/>
      <c r="W240" s="434"/>
    </row>
    <row r="241">
      <c r="A241" s="434"/>
      <c r="B241" s="434"/>
      <c r="C241" s="434"/>
      <c r="D241" s="434"/>
      <c r="E241" s="434"/>
      <c r="F241" s="434"/>
      <c r="G241" s="434"/>
      <c r="H241" s="434"/>
      <c r="I241" s="434"/>
      <c r="J241" s="434"/>
      <c r="K241" s="434"/>
      <c r="L241" s="434"/>
      <c r="M241" s="434"/>
      <c r="N241" s="434"/>
      <c r="O241" s="434"/>
      <c r="P241" s="434"/>
      <c r="Q241" s="434"/>
      <c r="R241" s="434"/>
      <c r="S241" s="434"/>
      <c r="T241" s="434"/>
      <c r="U241" s="434"/>
      <c r="V241" s="434"/>
      <c r="W241" s="434"/>
    </row>
    <row r="242">
      <c r="A242" s="434"/>
      <c r="B242" s="434"/>
      <c r="C242" s="434"/>
      <c r="D242" s="434"/>
      <c r="E242" s="434"/>
      <c r="F242" s="434"/>
      <c r="G242" s="434"/>
      <c r="H242" s="434"/>
      <c r="I242" s="434"/>
      <c r="J242" s="434"/>
      <c r="K242" s="434"/>
      <c r="L242" s="434"/>
      <c r="M242" s="434"/>
      <c r="N242" s="434"/>
      <c r="O242" s="434"/>
      <c r="P242" s="434"/>
      <c r="Q242" s="434"/>
      <c r="R242" s="434"/>
      <c r="S242" s="434"/>
      <c r="T242" s="434"/>
      <c r="U242" s="434"/>
      <c r="V242" s="434"/>
      <c r="W242" s="434"/>
    </row>
    <row r="243">
      <c r="A243" s="434"/>
      <c r="B243" s="434"/>
      <c r="C243" s="434"/>
      <c r="D243" s="434"/>
      <c r="E243" s="434"/>
      <c r="F243" s="434"/>
      <c r="G243" s="434"/>
      <c r="H243" s="434"/>
      <c r="I243" s="434"/>
      <c r="J243" s="434"/>
      <c r="K243" s="434"/>
      <c r="L243" s="434"/>
      <c r="M243" s="434"/>
      <c r="N243" s="434"/>
      <c r="O243" s="434"/>
      <c r="P243" s="434"/>
      <c r="Q243" s="434"/>
      <c r="R243" s="434"/>
      <c r="S243" s="434"/>
      <c r="T243" s="434"/>
      <c r="U243" s="434"/>
      <c r="V243" s="434"/>
      <c r="W243" s="434"/>
    </row>
    <row r="244">
      <c r="A244" s="434"/>
      <c r="B244" s="434"/>
      <c r="C244" s="434"/>
      <c r="D244" s="434"/>
      <c r="E244" s="434"/>
      <c r="F244" s="434"/>
      <c r="G244" s="434"/>
      <c r="H244" s="434"/>
      <c r="I244" s="434"/>
      <c r="J244" s="434"/>
      <c r="K244" s="434"/>
      <c r="L244" s="434"/>
      <c r="M244" s="434"/>
      <c r="N244" s="434"/>
      <c r="O244" s="434"/>
      <c r="P244" s="434"/>
      <c r="Q244" s="434"/>
      <c r="R244" s="434"/>
      <c r="S244" s="434"/>
      <c r="T244" s="434"/>
      <c r="U244" s="434"/>
      <c r="V244" s="434"/>
      <c r="W244" s="434"/>
    </row>
    <row r="245">
      <c r="A245" s="434"/>
      <c r="B245" s="434"/>
      <c r="C245" s="434"/>
      <c r="D245" s="434"/>
      <c r="E245" s="434"/>
      <c r="F245" s="434"/>
      <c r="G245" s="434"/>
      <c r="H245" s="434"/>
      <c r="I245" s="434"/>
      <c r="J245" s="434"/>
      <c r="K245" s="434"/>
      <c r="L245" s="434"/>
      <c r="M245" s="434"/>
      <c r="N245" s="434"/>
      <c r="O245" s="434"/>
      <c r="P245" s="434"/>
      <c r="Q245" s="434"/>
      <c r="R245" s="434"/>
      <c r="S245" s="434"/>
      <c r="T245" s="434"/>
      <c r="U245" s="434"/>
      <c r="V245" s="434"/>
      <c r="W245" s="434"/>
    </row>
    <row r="246">
      <c r="A246" s="434"/>
      <c r="B246" s="434"/>
      <c r="C246" s="434"/>
      <c r="D246" s="434"/>
      <c r="E246" s="434"/>
      <c r="F246" s="434"/>
      <c r="G246" s="434"/>
      <c r="H246" s="434"/>
      <c r="I246" s="434"/>
      <c r="J246" s="434"/>
      <c r="K246" s="434"/>
      <c r="L246" s="434"/>
      <c r="M246" s="434"/>
      <c r="N246" s="434"/>
      <c r="O246" s="434"/>
      <c r="P246" s="434"/>
      <c r="Q246" s="434"/>
      <c r="R246" s="434"/>
      <c r="S246" s="434"/>
      <c r="T246" s="434"/>
      <c r="U246" s="434"/>
      <c r="V246" s="434"/>
      <c r="W246" s="434"/>
    </row>
    <row r="247">
      <c r="A247" s="434"/>
      <c r="B247" s="434"/>
      <c r="C247" s="434"/>
      <c r="D247" s="434"/>
      <c r="E247" s="434"/>
      <c r="F247" s="434"/>
      <c r="G247" s="434"/>
      <c r="H247" s="434"/>
      <c r="I247" s="434"/>
      <c r="J247" s="434"/>
      <c r="K247" s="434"/>
      <c r="L247" s="434"/>
      <c r="M247" s="434"/>
      <c r="N247" s="434"/>
      <c r="O247" s="434"/>
      <c r="P247" s="434"/>
      <c r="Q247" s="434"/>
      <c r="R247" s="434"/>
      <c r="S247" s="434"/>
      <c r="T247" s="434"/>
      <c r="U247" s="434"/>
      <c r="V247" s="434"/>
      <c r="W247" s="434"/>
    </row>
    <row r="248">
      <c r="A248" s="434"/>
      <c r="B248" s="434"/>
      <c r="C248" s="434"/>
      <c r="D248" s="434"/>
      <c r="E248" s="434"/>
      <c r="F248" s="434"/>
      <c r="G248" s="434"/>
      <c r="H248" s="434"/>
      <c r="I248" s="434"/>
      <c r="J248" s="434"/>
      <c r="K248" s="434"/>
      <c r="L248" s="434"/>
      <c r="M248" s="434"/>
      <c r="N248" s="434"/>
      <c r="O248" s="434"/>
      <c r="P248" s="434"/>
      <c r="Q248" s="434"/>
      <c r="R248" s="434"/>
      <c r="S248" s="434"/>
      <c r="T248" s="434"/>
      <c r="U248" s="434"/>
      <c r="V248" s="434"/>
      <c r="W248" s="434"/>
    </row>
    <row r="249">
      <c r="A249" s="434"/>
      <c r="B249" s="434"/>
      <c r="C249" s="434"/>
      <c r="D249" s="434"/>
      <c r="E249" s="434"/>
      <c r="F249" s="434"/>
      <c r="G249" s="434"/>
      <c r="H249" s="434"/>
      <c r="I249" s="434"/>
      <c r="J249" s="434"/>
      <c r="K249" s="434"/>
      <c r="L249" s="434"/>
      <c r="M249" s="434"/>
      <c r="N249" s="434"/>
      <c r="O249" s="434"/>
      <c r="P249" s="434"/>
      <c r="Q249" s="434"/>
      <c r="R249" s="434"/>
      <c r="S249" s="434"/>
      <c r="T249" s="434"/>
      <c r="U249" s="434"/>
      <c r="V249" s="434"/>
      <c r="W249" s="434"/>
    </row>
    <row r="250">
      <c r="A250" s="434"/>
      <c r="B250" s="434"/>
      <c r="C250" s="434"/>
      <c r="D250" s="434"/>
      <c r="E250" s="434"/>
      <c r="F250" s="434"/>
      <c r="G250" s="434"/>
      <c r="H250" s="434"/>
      <c r="I250" s="434"/>
      <c r="J250" s="434"/>
      <c r="K250" s="434"/>
      <c r="L250" s="434"/>
      <c r="M250" s="434"/>
      <c r="N250" s="434"/>
      <c r="O250" s="434"/>
      <c r="P250" s="434"/>
      <c r="Q250" s="434"/>
      <c r="R250" s="434"/>
      <c r="S250" s="434"/>
      <c r="T250" s="434"/>
      <c r="U250" s="434"/>
      <c r="V250" s="434"/>
      <c r="W250" s="434"/>
    </row>
    <row r="251">
      <c r="A251" s="434"/>
      <c r="B251" s="434"/>
      <c r="C251" s="434"/>
      <c r="D251" s="434"/>
      <c r="E251" s="434"/>
      <c r="F251" s="434"/>
      <c r="G251" s="434"/>
      <c r="H251" s="434"/>
      <c r="I251" s="434"/>
      <c r="J251" s="434"/>
      <c r="K251" s="434"/>
      <c r="L251" s="434"/>
      <c r="M251" s="434"/>
      <c r="N251" s="434"/>
      <c r="O251" s="434"/>
      <c r="P251" s="434"/>
      <c r="Q251" s="434"/>
      <c r="R251" s="434"/>
      <c r="S251" s="434"/>
      <c r="T251" s="434"/>
      <c r="U251" s="434"/>
      <c r="V251" s="434"/>
      <c r="W251" s="434"/>
    </row>
    <row r="252">
      <c r="A252" s="434"/>
      <c r="B252" s="434"/>
      <c r="C252" s="434"/>
      <c r="D252" s="434"/>
      <c r="E252" s="434"/>
      <c r="F252" s="434"/>
      <c r="G252" s="434"/>
      <c r="H252" s="434"/>
      <c r="I252" s="434"/>
      <c r="J252" s="434"/>
      <c r="K252" s="434"/>
      <c r="L252" s="434"/>
      <c r="M252" s="434"/>
      <c r="N252" s="434"/>
      <c r="O252" s="434"/>
      <c r="P252" s="434"/>
      <c r="Q252" s="434"/>
      <c r="R252" s="434"/>
      <c r="S252" s="434"/>
      <c r="T252" s="434"/>
      <c r="U252" s="434"/>
      <c r="V252" s="434"/>
      <c r="W252" s="434"/>
    </row>
    <row r="253">
      <c r="A253" s="434"/>
      <c r="B253" s="434"/>
      <c r="C253" s="434"/>
      <c r="D253" s="434"/>
      <c r="E253" s="434"/>
      <c r="F253" s="434"/>
      <c r="G253" s="434"/>
      <c r="H253" s="434"/>
      <c r="I253" s="434"/>
      <c r="J253" s="434"/>
      <c r="K253" s="434"/>
      <c r="L253" s="434"/>
      <c r="M253" s="434"/>
      <c r="N253" s="434"/>
      <c r="O253" s="434"/>
      <c r="P253" s="434"/>
      <c r="Q253" s="434"/>
      <c r="R253" s="434"/>
      <c r="S253" s="434"/>
      <c r="T253" s="434"/>
      <c r="U253" s="434"/>
      <c r="V253" s="434"/>
      <c r="W253" s="434"/>
    </row>
    <row r="254">
      <c r="A254" s="434"/>
      <c r="B254" s="434"/>
      <c r="C254" s="434"/>
      <c r="D254" s="434"/>
      <c r="E254" s="434"/>
      <c r="F254" s="434"/>
      <c r="G254" s="434"/>
      <c r="H254" s="434"/>
      <c r="I254" s="434"/>
      <c r="J254" s="434"/>
      <c r="K254" s="434"/>
      <c r="L254" s="434"/>
      <c r="M254" s="434"/>
      <c r="N254" s="434"/>
      <c r="O254" s="434"/>
      <c r="P254" s="434"/>
      <c r="Q254" s="434"/>
      <c r="R254" s="434"/>
      <c r="S254" s="434"/>
      <c r="T254" s="434"/>
      <c r="U254" s="434"/>
      <c r="V254" s="434"/>
      <c r="W254" s="434"/>
    </row>
    <row r="255">
      <c r="A255" s="434"/>
      <c r="B255" s="434"/>
      <c r="C255" s="434"/>
      <c r="D255" s="434"/>
      <c r="E255" s="434"/>
      <c r="F255" s="434"/>
      <c r="G255" s="434"/>
      <c r="H255" s="434"/>
      <c r="I255" s="434"/>
      <c r="J255" s="434"/>
      <c r="K255" s="434"/>
      <c r="L255" s="434"/>
      <c r="M255" s="434"/>
      <c r="N255" s="434"/>
      <c r="O255" s="434"/>
      <c r="P255" s="434"/>
      <c r="Q255" s="434"/>
      <c r="R255" s="434"/>
      <c r="S255" s="434"/>
      <c r="T255" s="434"/>
      <c r="U255" s="434"/>
      <c r="V255" s="434"/>
      <c r="W255" s="434"/>
    </row>
    <row r="256">
      <c r="A256" s="434"/>
      <c r="B256" s="434"/>
      <c r="C256" s="434"/>
      <c r="D256" s="434"/>
      <c r="E256" s="434"/>
      <c r="F256" s="434"/>
      <c r="G256" s="434"/>
      <c r="H256" s="434"/>
      <c r="I256" s="434"/>
      <c r="J256" s="434"/>
      <c r="K256" s="434"/>
      <c r="L256" s="434"/>
      <c r="M256" s="434"/>
      <c r="N256" s="434"/>
      <c r="O256" s="434"/>
      <c r="P256" s="434"/>
      <c r="Q256" s="434"/>
      <c r="R256" s="434"/>
      <c r="S256" s="434"/>
      <c r="T256" s="434"/>
      <c r="U256" s="434"/>
      <c r="V256" s="434"/>
      <c r="W256" s="434"/>
    </row>
    <row r="257">
      <c r="A257" s="434"/>
      <c r="B257" s="434"/>
      <c r="C257" s="434"/>
      <c r="D257" s="434"/>
      <c r="E257" s="434"/>
      <c r="F257" s="434"/>
      <c r="G257" s="434"/>
      <c r="H257" s="434"/>
      <c r="I257" s="434"/>
      <c r="J257" s="434"/>
      <c r="K257" s="434"/>
      <c r="L257" s="434"/>
      <c r="M257" s="434"/>
      <c r="N257" s="434"/>
      <c r="O257" s="434"/>
      <c r="P257" s="434"/>
      <c r="Q257" s="434"/>
      <c r="R257" s="434"/>
      <c r="S257" s="434"/>
      <c r="T257" s="434"/>
      <c r="U257" s="434"/>
      <c r="V257" s="434"/>
      <c r="W257" s="434"/>
    </row>
    <row r="258">
      <c r="A258" s="434"/>
      <c r="B258" s="434"/>
      <c r="C258" s="434"/>
      <c r="D258" s="434"/>
      <c r="E258" s="434"/>
      <c r="F258" s="434"/>
      <c r="G258" s="434"/>
      <c r="H258" s="434"/>
      <c r="I258" s="434"/>
      <c r="J258" s="434"/>
      <c r="K258" s="434"/>
      <c r="L258" s="434"/>
      <c r="M258" s="434"/>
      <c r="N258" s="434"/>
      <c r="O258" s="434"/>
      <c r="P258" s="434"/>
      <c r="Q258" s="434"/>
      <c r="R258" s="434"/>
      <c r="S258" s="434"/>
      <c r="T258" s="434"/>
      <c r="U258" s="434"/>
      <c r="V258" s="434"/>
      <c r="W258" s="434"/>
    </row>
    <row r="259">
      <c r="A259" s="434"/>
      <c r="B259" s="434"/>
      <c r="C259" s="434"/>
      <c r="D259" s="434"/>
      <c r="E259" s="434"/>
      <c r="F259" s="434"/>
      <c r="G259" s="434"/>
      <c r="H259" s="434"/>
      <c r="I259" s="434"/>
      <c r="J259" s="434"/>
      <c r="K259" s="434"/>
      <c r="L259" s="434"/>
      <c r="M259" s="434"/>
      <c r="N259" s="434"/>
      <c r="O259" s="434"/>
      <c r="P259" s="434"/>
      <c r="Q259" s="434"/>
      <c r="R259" s="434"/>
      <c r="S259" s="434"/>
      <c r="T259" s="434"/>
      <c r="U259" s="434"/>
      <c r="V259" s="434"/>
      <c r="W259" s="434"/>
    </row>
    <row r="260">
      <c r="A260" s="434"/>
      <c r="B260" s="434"/>
      <c r="C260" s="434"/>
      <c r="D260" s="434"/>
      <c r="E260" s="434"/>
      <c r="F260" s="434"/>
      <c r="G260" s="434"/>
      <c r="H260" s="434"/>
      <c r="I260" s="434"/>
      <c r="J260" s="434"/>
      <c r="K260" s="434"/>
      <c r="L260" s="434"/>
      <c r="M260" s="434"/>
      <c r="N260" s="434"/>
      <c r="O260" s="434"/>
      <c r="P260" s="434"/>
      <c r="Q260" s="434"/>
      <c r="R260" s="434"/>
      <c r="S260" s="434"/>
      <c r="T260" s="434"/>
      <c r="U260" s="434"/>
      <c r="V260" s="434"/>
      <c r="W260" s="434"/>
    </row>
    <row r="261">
      <c r="A261" s="434"/>
      <c r="B261" s="434"/>
      <c r="C261" s="434"/>
      <c r="D261" s="434"/>
      <c r="E261" s="434"/>
      <c r="F261" s="434"/>
      <c r="G261" s="434"/>
      <c r="H261" s="434"/>
      <c r="I261" s="434"/>
      <c r="J261" s="434"/>
      <c r="K261" s="434"/>
      <c r="L261" s="434"/>
      <c r="M261" s="434"/>
      <c r="N261" s="434"/>
      <c r="O261" s="434"/>
      <c r="P261" s="434"/>
      <c r="Q261" s="434"/>
      <c r="R261" s="434"/>
      <c r="S261" s="434"/>
      <c r="T261" s="434"/>
      <c r="U261" s="434"/>
      <c r="V261" s="434"/>
      <c r="W261" s="434"/>
    </row>
    <row r="262">
      <c r="A262" s="434"/>
      <c r="B262" s="434"/>
      <c r="C262" s="434"/>
      <c r="D262" s="434"/>
      <c r="E262" s="434"/>
      <c r="F262" s="434"/>
      <c r="G262" s="434"/>
      <c r="H262" s="434"/>
      <c r="I262" s="434"/>
      <c r="J262" s="434"/>
      <c r="K262" s="434"/>
      <c r="L262" s="434"/>
      <c r="M262" s="434"/>
      <c r="N262" s="434"/>
      <c r="O262" s="434"/>
      <c r="P262" s="434"/>
      <c r="Q262" s="434"/>
      <c r="R262" s="434"/>
      <c r="S262" s="434"/>
      <c r="T262" s="434"/>
      <c r="U262" s="434"/>
      <c r="V262" s="434"/>
      <c r="W262" s="434"/>
    </row>
    <row r="263">
      <c r="A263" s="434"/>
      <c r="B263" s="434"/>
      <c r="C263" s="434"/>
      <c r="D263" s="434"/>
      <c r="E263" s="434"/>
      <c r="F263" s="434"/>
      <c r="G263" s="434"/>
      <c r="H263" s="434"/>
      <c r="I263" s="434"/>
      <c r="J263" s="434"/>
      <c r="K263" s="434"/>
      <c r="L263" s="434"/>
      <c r="M263" s="434"/>
      <c r="N263" s="434"/>
      <c r="O263" s="434"/>
      <c r="P263" s="434"/>
      <c r="Q263" s="434"/>
      <c r="R263" s="434"/>
      <c r="S263" s="434"/>
      <c r="T263" s="434"/>
      <c r="U263" s="434"/>
      <c r="V263" s="434"/>
      <c r="W263" s="434"/>
    </row>
    <row r="264">
      <c r="A264" s="434"/>
      <c r="B264" s="434"/>
      <c r="C264" s="434"/>
      <c r="D264" s="434"/>
      <c r="E264" s="434"/>
      <c r="F264" s="434"/>
      <c r="G264" s="434"/>
      <c r="H264" s="434"/>
      <c r="I264" s="434"/>
      <c r="J264" s="434"/>
      <c r="K264" s="434"/>
      <c r="L264" s="434"/>
      <c r="M264" s="434"/>
      <c r="N264" s="434"/>
      <c r="O264" s="434"/>
      <c r="P264" s="434"/>
      <c r="Q264" s="434"/>
      <c r="R264" s="434"/>
      <c r="S264" s="434"/>
      <c r="T264" s="434"/>
      <c r="U264" s="434"/>
      <c r="V264" s="434"/>
      <c r="W264" s="434"/>
    </row>
    <row r="265">
      <c r="A265" s="434"/>
      <c r="B265" s="434"/>
      <c r="C265" s="434"/>
      <c r="D265" s="434"/>
      <c r="E265" s="434"/>
      <c r="F265" s="434"/>
      <c r="G265" s="434"/>
      <c r="H265" s="434"/>
      <c r="I265" s="434"/>
      <c r="J265" s="434"/>
      <c r="K265" s="434"/>
      <c r="L265" s="434"/>
      <c r="M265" s="434"/>
      <c r="N265" s="434"/>
      <c r="O265" s="434"/>
      <c r="P265" s="434"/>
      <c r="Q265" s="434"/>
      <c r="R265" s="434"/>
      <c r="S265" s="434"/>
      <c r="T265" s="434"/>
      <c r="U265" s="434"/>
      <c r="V265" s="434"/>
      <c r="W265" s="434"/>
    </row>
    <row r="266">
      <c r="A266" s="434"/>
      <c r="B266" s="434"/>
      <c r="C266" s="434"/>
      <c r="D266" s="434"/>
      <c r="E266" s="434"/>
      <c r="F266" s="434"/>
      <c r="G266" s="434"/>
      <c r="H266" s="434"/>
      <c r="I266" s="434"/>
      <c r="J266" s="434"/>
      <c r="K266" s="434"/>
      <c r="L266" s="434"/>
      <c r="M266" s="434"/>
      <c r="N266" s="434"/>
      <c r="O266" s="434"/>
      <c r="P266" s="434"/>
      <c r="Q266" s="434"/>
      <c r="R266" s="434"/>
      <c r="S266" s="434"/>
      <c r="T266" s="434"/>
      <c r="U266" s="434"/>
      <c r="V266" s="434"/>
      <c r="W266" s="434"/>
    </row>
    <row r="267">
      <c r="A267" s="434"/>
      <c r="B267" s="434"/>
      <c r="C267" s="434"/>
      <c r="D267" s="434"/>
      <c r="E267" s="434"/>
      <c r="F267" s="434"/>
      <c r="G267" s="434"/>
      <c r="H267" s="434"/>
      <c r="I267" s="434"/>
      <c r="J267" s="434"/>
      <c r="K267" s="434"/>
      <c r="L267" s="434"/>
      <c r="M267" s="434"/>
      <c r="N267" s="434"/>
      <c r="O267" s="434"/>
      <c r="P267" s="434"/>
      <c r="Q267" s="434"/>
      <c r="R267" s="434"/>
      <c r="S267" s="434"/>
      <c r="T267" s="434"/>
      <c r="U267" s="434"/>
      <c r="V267" s="434"/>
      <c r="W267" s="434"/>
    </row>
    <row r="268">
      <c r="A268" s="434"/>
      <c r="B268" s="434"/>
      <c r="C268" s="434"/>
      <c r="D268" s="434"/>
      <c r="E268" s="434"/>
      <c r="F268" s="434"/>
      <c r="G268" s="434"/>
      <c r="H268" s="434"/>
      <c r="I268" s="434"/>
      <c r="J268" s="434"/>
      <c r="K268" s="434"/>
      <c r="L268" s="434"/>
      <c r="M268" s="434"/>
      <c r="N268" s="434"/>
      <c r="O268" s="434"/>
      <c r="P268" s="434"/>
      <c r="Q268" s="434"/>
      <c r="R268" s="434"/>
      <c r="S268" s="434"/>
      <c r="T268" s="434"/>
      <c r="U268" s="434"/>
      <c r="V268" s="434"/>
      <c r="W268" s="434"/>
    </row>
    <row r="269">
      <c r="A269" s="434"/>
      <c r="B269" s="434"/>
      <c r="C269" s="434"/>
      <c r="D269" s="434"/>
      <c r="E269" s="434"/>
      <c r="F269" s="434"/>
      <c r="G269" s="434"/>
      <c r="H269" s="434"/>
      <c r="I269" s="434"/>
      <c r="J269" s="434"/>
      <c r="K269" s="434"/>
      <c r="L269" s="434"/>
      <c r="M269" s="434"/>
      <c r="N269" s="434"/>
      <c r="O269" s="434"/>
      <c r="P269" s="434"/>
      <c r="Q269" s="434"/>
      <c r="R269" s="434"/>
      <c r="S269" s="434"/>
      <c r="T269" s="434"/>
      <c r="U269" s="434"/>
      <c r="V269" s="434"/>
      <c r="W269" s="434"/>
    </row>
    <row r="270">
      <c r="A270" s="434"/>
      <c r="B270" s="434"/>
      <c r="C270" s="434"/>
      <c r="D270" s="434"/>
      <c r="E270" s="434"/>
      <c r="F270" s="434"/>
      <c r="G270" s="434"/>
      <c r="H270" s="434"/>
      <c r="I270" s="434"/>
      <c r="J270" s="434"/>
      <c r="K270" s="434"/>
      <c r="L270" s="434"/>
      <c r="M270" s="434"/>
      <c r="N270" s="434"/>
      <c r="O270" s="434"/>
      <c r="P270" s="434"/>
      <c r="Q270" s="434"/>
      <c r="R270" s="434"/>
      <c r="S270" s="434"/>
      <c r="T270" s="434"/>
      <c r="U270" s="434"/>
      <c r="V270" s="434"/>
      <c r="W270" s="434"/>
    </row>
    <row r="271">
      <c r="A271" s="434"/>
      <c r="B271" s="434"/>
      <c r="C271" s="434"/>
      <c r="D271" s="434"/>
      <c r="E271" s="434"/>
      <c r="F271" s="434"/>
      <c r="G271" s="434"/>
      <c r="H271" s="434"/>
      <c r="I271" s="434"/>
      <c r="J271" s="434"/>
      <c r="K271" s="434"/>
      <c r="L271" s="434"/>
      <c r="M271" s="434"/>
      <c r="N271" s="434"/>
      <c r="O271" s="434"/>
      <c r="P271" s="434"/>
      <c r="Q271" s="434"/>
      <c r="R271" s="434"/>
      <c r="S271" s="434"/>
      <c r="T271" s="434"/>
      <c r="U271" s="434"/>
      <c r="V271" s="434"/>
      <c r="W271" s="434"/>
    </row>
    <row r="272">
      <c r="A272" s="434"/>
      <c r="B272" s="434"/>
      <c r="C272" s="434"/>
      <c r="D272" s="434"/>
      <c r="E272" s="434"/>
      <c r="F272" s="434"/>
      <c r="G272" s="434"/>
      <c r="H272" s="434"/>
      <c r="I272" s="434"/>
      <c r="J272" s="434"/>
      <c r="K272" s="434"/>
      <c r="L272" s="434"/>
      <c r="M272" s="434"/>
      <c r="N272" s="434"/>
      <c r="O272" s="434"/>
      <c r="P272" s="434"/>
      <c r="Q272" s="434"/>
      <c r="R272" s="434"/>
      <c r="S272" s="434"/>
      <c r="T272" s="434"/>
      <c r="U272" s="434"/>
      <c r="V272" s="434"/>
      <c r="W272" s="434"/>
    </row>
    <row r="273">
      <c r="A273" s="434"/>
      <c r="B273" s="434"/>
      <c r="C273" s="434"/>
      <c r="D273" s="434"/>
      <c r="E273" s="434"/>
      <c r="F273" s="434"/>
      <c r="G273" s="434"/>
      <c r="H273" s="434"/>
      <c r="I273" s="434"/>
      <c r="J273" s="434"/>
      <c r="K273" s="434"/>
      <c r="L273" s="434"/>
      <c r="M273" s="434"/>
      <c r="N273" s="434"/>
      <c r="O273" s="434"/>
      <c r="P273" s="434"/>
      <c r="Q273" s="434"/>
      <c r="R273" s="434"/>
      <c r="S273" s="434"/>
      <c r="T273" s="434"/>
      <c r="U273" s="434"/>
      <c r="V273" s="434"/>
      <c r="W273" s="434"/>
    </row>
    <row r="274">
      <c r="A274" s="434"/>
      <c r="B274" s="434"/>
      <c r="C274" s="434"/>
      <c r="D274" s="434"/>
      <c r="E274" s="434"/>
      <c r="F274" s="434"/>
      <c r="G274" s="434"/>
      <c r="H274" s="434"/>
      <c r="I274" s="434"/>
      <c r="J274" s="434"/>
      <c r="K274" s="434"/>
      <c r="L274" s="434"/>
      <c r="M274" s="434"/>
      <c r="N274" s="434"/>
      <c r="O274" s="434"/>
      <c r="P274" s="434"/>
      <c r="Q274" s="434"/>
      <c r="R274" s="434"/>
      <c r="S274" s="434"/>
      <c r="T274" s="434"/>
      <c r="U274" s="434"/>
      <c r="V274" s="434"/>
      <c r="W274" s="434"/>
    </row>
    <row r="275">
      <c r="A275" s="434"/>
      <c r="B275" s="434"/>
      <c r="C275" s="434"/>
      <c r="D275" s="434"/>
      <c r="E275" s="434"/>
      <c r="F275" s="434"/>
      <c r="G275" s="434"/>
      <c r="H275" s="434"/>
      <c r="I275" s="434"/>
      <c r="J275" s="434"/>
      <c r="K275" s="434"/>
      <c r="L275" s="434"/>
      <c r="M275" s="434"/>
      <c r="N275" s="434"/>
      <c r="O275" s="434"/>
      <c r="P275" s="434"/>
      <c r="Q275" s="434"/>
      <c r="R275" s="434"/>
      <c r="S275" s="434"/>
      <c r="T275" s="434"/>
      <c r="U275" s="434"/>
      <c r="V275" s="434"/>
      <c r="W275" s="434"/>
    </row>
    <row r="276">
      <c r="A276" s="434"/>
      <c r="B276" s="434"/>
      <c r="C276" s="434"/>
      <c r="D276" s="434"/>
      <c r="E276" s="434"/>
      <c r="F276" s="434"/>
      <c r="G276" s="434"/>
      <c r="H276" s="434"/>
      <c r="I276" s="434"/>
      <c r="J276" s="434"/>
      <c r="K276" s="434"/>
      <c r="L276" s="434"/>
      <c r="M276" s="434"/>
      <c r="N276" s="434"/>
      <c r="O276" s="434"/>
      <c r="P276" s="434"/>
      <c r="Q276" s="434"/>
      <c r="R276" s="434"/>
      <c r="S276" s="434"/>
      <c r="T276" s="434"/>
      <c r="U276" s="434"/>
      <c r="V276" s="434"/>
      <c r="W276" s="434"/>
    </row>
    <row r="277">
      <c r="A277" s="434"/>
      <c r="B277" s="434"/>
      <c r="C277" s="434"/>
      <c r="D277" s="434"/>
      <c r="E277" s="434"/>
      <c r="F277" s="434"/>
      <c r="G277" s="434"/>
      <c r="H277" s="434"/>
      <c r="I277" s="434"/>
      <c r="J277" s="434"/>
      <c r="K277" s="434"/>
      <c r="L277" s="434"/>
      <c r="M277" s="434"/>
      <c r="N277" s="434"/>
      <c r="O277" s="434"/>
      <c r="P277" s="434"/>
      <c r="Q277" s="434"/>
      <c r="R277" s="434"/>
      <c r="S277" s="434"/>
      <c r="T277" s="434"/>
      <c r="U277" s="434"/>
      <c r="V277" s="434"/>
      <c r="W277" s="434"/>
    </row>
    <row r="278">
      <c r="A278" s="434"/>
      <c r="B278" s="434"/>
      <c r="C278" s="434"/>
      <c r="D278" s="434"/>
      <c r="E278" s="434"/>
      <c r="F278" s="434"/>
      <c r="G278" s="434"/>
      <c r="H278" s="434"/>
      <c r="I278" s="434"/>
      <c r="J278" s="434"/>
      <c r="K278" s="434"/>
      <c r="L278" s="434"/>
      <c r="M278" s="434"/>
      <c r="N278" s="434"/>
      <c r="O278" s="434"/>
      <c r="P278" s="434"/>
      <c r="Q278" s="434"/>
      <c r="R278" s="434"/>
      <c r="S278" s="434"/>
      <c r="T278" s="434"/>
      <c r="U278" s="434"/>
      <c r="V278" s="434"/>
      <c r="W278" s="434"/>
    </row>
    <row r="279">
      <c r="A279" s="434"/>
      <c r="B279" s="434"/>
      <c r="C279" s="434"/>
      <c r="D279" s="434"/>
      <c r="E279" s="434"/>
      <c r="F279" s="434"/>
      <c r="G279" s="434"/>
      <c r="H279" s="434"/>
      <c r="I279" s="434"/>
      <c r="J279" s="434"/>
      <c r="K279" s="434"/>
      <c r="L279" s="434"/>
      <c r="M279" s="434"/>
      <c r="N279" s="434"/>
      <c r="O279" s="434"/>
      <c r="P279" s="434"/>
      <c r="Q279" s="434"/>
      <c r="R279" s="434"/>
      <c r="S279" s="434"/>
      <c r="T279" s="434"/>
      <c r="U279" s="434"/>
      <c r="V279" s="434"/>
      <c r="W279" s="434"/>
    </row>
    <row r="280">
      <c r="A280" s="434"/>
      <c r="B280" s="434"/>
      <c r="C280" s="434"/>
      <c r="D280" s="434"/>
      <c r="E280" s="434"/>
      <c r="F280" s="434"/>
      <c r="G280" s="434"/>
      <c r="H280" s="434"/>
      <c r="I280" s="434"/>
      <c r="J280" s="434"/>
      <c r="K280" s="434"/>
      <c r="L280" s="434"/>
      <c r="M280" s="434"/>
      <c r="N280" s="434"/>
      <c r="O280" s="434"/>
      <c r="P280" s="434"/>
      <c r="Q280" s="434"/>
      <c r="R280" s="434"/>
      <c r="S280" s="434"/>
      <c r="T280" s="434"/>
      <c r="U280" s="434"/>
      <c r="V280" s="434"/>
      <c r="W280" s="434"/>
    </row>
    <row r="281">
      <c r="A281" s="434"/>
      <c r="B281" s="434"/>
      <c r="C281" s="434"/>
      <c r="D281" s="434"/>
      <c r="E281" s="434"/>
      <c r="F281" s="434"/>
      <c r="G281" s="434"/>
      <c r="H281" s="434"/>
      <c r="I281" s="434"/>
      <c r="J281" s="434"/>
      <c r="K281" s="434"/>
      <c r="L281" s="434"/>
      <c r="M281" s="434"/>
      <c r="N281" s="434"/>
      <c r="O281" s="434"/>
      <c r="P281" s="434"/>
      <c r="Q281" s="434"/>
      <c r="R281" s="434"/>
      <c r="S281" s="434"/>
      <c r="T281" s="434"/>
      <c r="U281" s="434"/>
      <c r="V281" s="434"/>
      <c r="W281" s="434"/>
    </row>
    <row r="282">
      <c r="A282" s="434"/>
      <c r="B282" s="434"/>
      <c r="C282" s="434"/>
      <c r="D282" s="434"/>
      <c r="E282" s="434"/>
      <c r="F282" s="434"/>
      <c r="G282" s="434"/>
      <c r="H282" s="434"/>
      <c r="I282" s="434"/>
      <c r="J282" s="434"/>
      <c r="K282" s="434"/>
      <c r="L282" s="434"/>
      <c r="M282" s="434"/>
      <c r="N282" s="434"/>
      <c r="O282" s="434"/>
      <c r="P282" s="434"/>
      <c r="Q282" s="434"/>
      <c r="R282" s="434"/>
      <c r="S282" s="434"/>
      <c r="T282" s="434"/>
      <c r="U282" s="434"/>
      <c r="V282" s="434"/>
      <c r="W282" s="434"/>
    </row>
    <row r="283">
      <c r="A283" s="434"/>
      <c r="B283" s="434"/>
      <c r="C283" s="434"/>
      <c r="D283" s="434"/>
      <c r="E283" s="434"/>
      <c r="F283" s="434"/>
      <c r="G283" s="434"/>
      <c r="H283" s="434"/>
      <c r="I283" s="434"/>
      <c r="J283" s="434"/>
      <c r="K283" s="434"/>
      <c r="L283" s="434"/>
      <c r="M283" s="434"/>
      <c r="N283" s="434"/>
      <c r="O283" s="434"/>
      <c r="P283" s="434"/>
      <c r="Q283" s="434"/>
      <c r="R283" s="434"/>
      <c r="S283" s="434"/>
      <c r="T283" s="434"/>
      <c r="U283" s="434"/>
      <c r="V283" s="434"/>
      <c r="W283" s="434"/>
    </row>
    <row r="284">
      <c r="A284" s="434"/>
      <c r="B284" s="434"/>
      <c r="C284" s="434"/>
      <c r="D284" s="434"/>
      <c r="E284" s="434"/>
      <c r="F284" s="434"/>
      <c r="G284" s="434"/>
      <c r="H284" s="434"/>
      <c r="I284" s="434"/>
      <c r="J284" s="434"/>
      <c r="K284" s="434"/>
      <c r="L284" s="434"/>
      <c r="M284" s="434"/>
      <c r="N284" s="434"/>
      <c r="O284" s="434"/>
      <c r="P284" s="434"/>
      <c r="Q284" s="434"/>
      <c r="R284" s="434"/>
      <c r="S284" s="434"/>
      <c r="T284" s="434"/>
      <c r="U284" s="434"/>
      <c r="V284" s="434"/>
      <c r="W284" s="434"/>
    </row>
    <row r="285">
      <c r="A285" s="434"/>
      <c r="B285" s="434"/>
      <c r="C285" s="434"/>
      <c r="D285" s="434"/>
      <c r="E285" s="434"/>
      <c r="F285" s="434"/>
      <c r="G285" s="434"/>
      <c r="H285" s="434"/>
      <c r="I285" s="434"/>
      <c r="J285" s="434"/>
      <c r="K285" s="434"/>
      <c r="L285" s="434"/>
      <c r="M285" s="434"/>
      <c r="N285" s="434"/>
      <c r="O285" s="434"/>
      <c r="P285" s="434"/>
      <c r="Q285" s="434"/>
      <c r="R285" s="434"/>
      <c r="S285" s="434"/>
      <c r="T285" s="434"/>
      <c r="U285" s="434"/>
      <c r="V285" s="434"/>
      <c r="W285" s="434"/>
    </row>
    <row r="286">
      <c r="A286" s="434"/>
      <c r="B286" s="434"/>
      <c r="C286" s="434"/>
      <c r="D286" s="434"/>
      <c r="E286" s="434"/>
      <c r="F286" s="434"/>
      <c r="G286" s="434"/>
      <c r="H286" s="434"/>
      <c r="I286" s="434"/>
      <c r="J286" s="434"/>
      <c r="K286" s="434"/>
      <c r="L286" s="434"/>
      <c r="M286" s="434"/>
      <c r="N286" s="434"/>
      <c r="O286" s="434"/>
      <c r="P286" s="434"/>
      <c r="Q286" s="434"/>
      <c r="R286" s="434"/>
      <c r="S286" s="434"/>
      <c r="T286" s="434"/>
      <c r="U286" s="434"/>
      <c r="V286" s="434"/>
      <c r="W286" s="434"/>
    </row>
    <row r="287">
      <c r="A287" s="434"/>
      <c r="B287" s="434"/>
      <c r="C287" s="434"/>
      <c r="D287" s="434"/>
      <c r="E287" s="434"/>
      <c r="F287" s="434"/>
      <c r="G287" s="434"/>
      <c r="H287" s="434"/>
      <c r="I287" s="434"/>
      <c r="J287" s="434"/>
      <c r="K287" s="434"/>
      <c r="L287" s="434"/>
      <c r="M287" s="434"/>
      <c r="N287" s="434"/>
      <c r="O287" s="434"/>
      <c r="P287" s="434"/>
      <c r="Q287" s="434"/>
      <c r="R287" s="434"/>
      <c r="S287" s="434"/>
      <c r="T287" s="434"/>
      <c r="U287" s="434"/>
      <c r="V287" s="434"/>
      <c r="W287" s="434"/>
    </row>
    <row r="288">
      <c r="A288" s="434"/>
      <c r="B288" s="434"/>
      <c r="C288" s="434"/>
      <c r="D288" s="434"/>
      <c r="E288" s="434"/>
      <c r="F288" s="434"/>
      <c r="G288" s="434"/>
      <c r="H288" s="434"/>
      <c r="I288" s="434"/>
      <c r="J288" s="434"/>
      <c r="K288" s="434"/>
      <c r="L288" s="434"/>
      <c r="M288" s="434"/>
      <c r="N288" s="434"/>
      <c r="O288" s="434"/>
      <c r="P288" s="434"/>
      <c r="Q288" s="434"/>
      <c r="R288" s="434"/>
      <c r="S288" s="434"/>
      <c r="T288" s="434"/>
      <c r="U288" s="434"/>
      <c r="V288" s="434"/>
      <c r="W288" s="434"/>
    </row>
    <row r="289">
      <c r="A289" s="434"/>
      <c r="B289" s="434"/>
      <c r="C289" s="434"/>
      <c r="D289" s="434"/>
      <c r="E289" s="434"/>
      <c r="F289" s="434"/>
      <c r="G289" s="434"/>
      <c r="H289" s="434"/>
      <c r="I289" s="434"/>
      <c r="J289" s="434"/>
      <c r="K289" s="434"/>
      <c r="L289" s="434"/>
      <c r="M289" s="434"/>
      <c r="N289" s="434"/>
      <c r="O289" s="434"/>
      <c r="P289" s="434"/>
      <c r="Q289" s="434"/>
      <c r="R289" s="434"/>
      <c r="S289" s="434"/>
      <c r="T289" s="434"/>
      <c r="U289" s="434"/>
      <c r="V289" s="434"/>
      <c r="W289" s="434"/>
    </row>
    <row r="290">
      <c r="A290" s="434"/>
      <c r="B290" s="434"/>
      <c r="C290" s="434"/>
      <c r="D290" s="434"/>
      <c r="E290" s="434"/>
      <c r="F290" s="434"/>
      <c r="G290" s="434"/>
      <c r="H290" s="434"/>
      <c r="I290" s="434"/>
      <c r="J290" s="434"/>
      <c r="K290" s="434"/>
      <c r="L290" s="434"/>
      <c r="M290" s="434"/>
      <c r="N290" s="434"/>
      <c r="O290" s="434"/>
      <c r="P290" s="434"/>
      <c r="Q290" s="434"/>
      <c r="R290" s="434"/>
      <c r="S290" s="434"/>
      <c r="T290" s="434"/>
      <c r="U290" s="434"/>
      <c r="V290" s="434"/>
      <c r="W290" s="434"/>
    </row>
    <row r="291">
      <c r="A291" s="434"/>
      <c r="B291" s="434"/>
      <c r="C291" s="434"/>
      <c r="D291" s="434"/>
      <c r="E291" s="434"/>
      <c r="F291" s="434"/>
      <c r="G291" s="434"/>
      <c r="H291" s="434"/>
      <c r="I291" s="434"/>
      <c r="J291" s="434"/>
      <c r="K291" s="434"/>
      <c r="L291" s="434"/>
      <c r="M291" s="434"/>
      <c r="N291" s="434"/>
      <c r="O291" s="434"/>
      <c r="P291" s="434"/>
      <c r="Q291" s="434"/>
      <c r="R291" s="434"/>
      <c r="S291" s="434"/>
      <c r="T291" s="434"/>
      <c r="U291" s="434"/>
      <c r="V291" s="434"/>
      <c r="W291" s="434"/>
    </row>
    <row r="292">
      <c r="A292" s="434"/>
      <c r="B292" s="434"/>
      <c r="C292" s="434"/>
      <c r="D292" s="434"/>
      <c r="E292" s="434"/>
      <c r="F292" s="434"/>
      <c r="G292" s="434"/>
      <c r="H292" s="434"/>
      <c r="I292" s="434"/>
      <c r="J292" s="434"/>
      <c r="K292" s="434"/>
      <c r="L292" s="434"/>
      <c r="M292" s="434"/>
      <c r="N292" s="434"/>
      <c r="O292" s="434"/>
      <c r="P292" s="434"/>
      <c r="Q292" s="434"/>
      <c r="R292" s="434"/>
      <c r="S292" s="434"/>
      <c r="T292" s="434"/>
      <c r="U292" s="434"/>
      <c r="V292" s="434"/>
      <c r="W292" s="434"/>
    </row>
    <row r="293">
      <c r="A293" s="434"/>
      <c r="B293" s="434"/>
      <c r="C293" s="434"/>
      <c r="D293" s="434"/>
      <c r="E293" s="434"/>
      <c r="F293" s="434"/>
      <c r="G293" s="434"/>
      <c r="H293" s="434"/>
      <c r="I293" s="434"/>
      <c r="J293" s="434"/>
      <c r="K293" s="434"/>
      <c r="L293" s="434"/>
      <c r="M293" s="434"/>
      <c r="N293" s="434"/>
      <c r="O293" s="434"/>
      <c r="P293" s="434"/>
      <c r="Q293" s="434"/>
      <c r="R293" s="434"/>
      <c r="S293" s="434"/>
      <c r="T293" s="434"/>
      <c r="U293" s="434"/>
      <c r="V293" s="434"/>
      <c r="W293" s="434"/>
    </row>
    <row r="294">
      <c r="A294" s="434"/>
      <c r="B294" s="434"/>
      <c r="C294" s="434"/>
      <c r="D294" s="434"/>
      <c r="E294" s="434"/>
      <c r="F294" s="434"/>
      <c r="G294" s="434"/>
      <c r="H294" s="434"/>
      <c r="I294" s="434"/>
      <c r="J294" s="434"/>
      <c r="K294" s="434"/>
      <c r="L294" s="434"/>
      <c r="M294" s="434"/>
      <c r="N294" s="434"/>
      <c r="O294" s="434"/>
      <c r="P294" s="434"/>
      <c r="Q294" s="434"/>
      <c r="R294" s="434"/>
      <c r="S294" s="434"/>
      <c r="T294" s="434"/>
      <c r="U294" s="434"/>
      <c r="V294" s="434"/>
      <c r="W294" s="434"/>
    </row>
    <row r="295">
      <c r="A295" s="434"/>
      <c r="B295" s="434"/>
      <c r="C295" s="434"/>
      <c r="D295" s="434"/>
      <c r="E295" s="434"/>
      <c r="F295" s="434"/>
      <c r="G295" s="434"/>
      <c r="H295" s="434"/>
      <c r="I295" s="434"/>
      <c r="J295" s="434"/>
      <c r="K295" s="434"/>
      <c r="L295" s="434"/>
      <c r="M295" s="434"/>
      <c r="N295" s="434"/>
      <c r="O295" s="434"/>
      <c r="P295" s="434"/>
      <c r="Q295" s="434"/>
      <c r="R295" s="434"/>
      <c r="S295" s="434"/>
      <c r="T295" s="434"/>
      <c r="U295" s="434"/>
      <c r="V295" s="434"/>
      <c r="W295" s="434"/>
    </row>
    <row r="296">
      <c r="A296" s="434"/>
      <c r="B296" s="434"/>
      <c r="C296" s="434"/>
      <c r="D296" s="434"/>
      <c r="E296" s="434"/>
      <c r="F296" s="434"/>
      <c r="G296" s="434"/>
      <c r="H296" s="434"/>
      <c r="I296" s="434"/>
      <c r="J296" s="434"/>
      <c r="K296" s="434"/>
      <c r="L296" s="434"/>
      <c r="M296" s="434"/>
      <c r="N296" s="434"/>
      <c r="O296" s="434"/>
      <c r="P296" s="434"/>
      <c r="Q296" s="434"/>
      <c r="R296" s="434"/>
      <c r="S296" s="434"/>
      <c r="T296" s="434"/>
      <c r="U296" s="434"/>
      <c r="V296" s="434"/>
      <c r="W296" s="434"/>
    </row>
    <row r="297">
      <c r="A297" s="434"/>
      <c r="B297" s="434"/>
      <c r="C297" s="434"/>
      <c r="D297" s="434"/>
      <c r="E297" s="434"/>
      <c r="F297" s="434"/>
      <c r="G297" s="434"/>
      <c r="H297" s="434"/>
      <c r="I297" s="434"/>
      <c r="J297" s="434"/>
      <c r="K297" s="434"/>
      <c r="L297" s="434"/>
      <c r="M297" s="434"/>
      <c r="N297" s="434"/>
      <c r="O297" s="434"/>
      <c r="P297" s="434"/>
      <c r="Q297" s="434"/>
      <c r="R297" s="434"/>
      <c r="S297" s="434"/>
      <c r="T297" s="434"/>
      <c r="U297" s="434"/>
      <c r="V297" s="434"/>
      <c r="W297" s="434"/>
    </row>
    <row r="298">
      <c r="A298" s="434"/>
      <c r="B298" s="434"/>
      <c r="C298" s="434"/>
      <c r="D298" s="434"/>
      <c r="E298" s="434"/>
      <c r="F298" s="434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  <c r="V298" s="434"/>
      <c r="W298" s="434"/>
    </row>
    <row r="299">
      <c r="A299" s="434"/>
      <c r="B299" s="434"/>
      <c r="C299" s="434"/>
      <c r="D299" s="434"/>
      <c r="E299" s="434"/>
      <c r="F299" s="434"/>
      <c r="G299" s="434"/>
      <c r="H299" s="434"/>
      <c r="I299" s="434"/>
      <c r="J299" s="434"/>
      <c r="K299" s="434"/>
      <c r="L299" s="434"/>
      <c r="M299" s="434"/>
      <c r="N299" s="434"/>
      <c r="O299" s="434"/>
      <c r="P299" s="434"/>
      <c r="Q299" s="434"/>
      <c r="R299" s="434"/>
      <c r="S299" s="434"/>
      <c r="T299" s="434"/>
      <c r="U299" s="434"/>
      <c r="V299" s="434"/>
      <c r="W299" s="434"/>
    </row>
    <row r="300">
      <c r="A300" s="434"/>
      <c r="B300" s="434"/>
      <c r="C300" s="434"/>
      <c r="D300" s="434"/>
      <c r="E300" s="434"/>
      <c r="F300" s="434"/>
      <c r="G300" s="434"/>
      <c r="H300" s="434"/>
      <c r="I300" s="434"/>
      <c r="J300" s="434"/>
      <c r="K300" s="434"/>
      <c r="L300" s="434"/>
      <c r="M300" s="434"/>
      <c r="N300" s="434"/>
      <c r="O300" s="434"/>
      <c r="P300" s="434"/>
      <c r="Q300" s="434"/>
      <c r="R300" s="434"/>
      <c r="S300" s="434"/>
      <c r="T300" s="434"/>
      <c r="U300" s="434"/>
      <c r="V300" s="434"/>
      <c r="W300" s="434"/>
    </row>
    <row r="301">
      <c r="A301" s="434"/>
      <c r="B301" s="434"/>
      <c r="C301" s="434"/>
      <c r="D301" s="434"/>
      <c r="E301" s="434"/>
      <c r="F301" s="434"/>
      <c r="G301" s="434"/>
      <c r="H301" s="434"/>
      <c r="I301" s="434"/>
      <c r="J301" s="434"/>
      <c r="K301" s="434"/>
      <c r="L301" s="434"/>
      <c r="M301" s="434"/>
      <c r="N301" s="434"/>
      <c r="O301" s="434"/>
      <c r="P301" s="434"/>
      <c r="Q301" s="434"/>
      <c r="R301" s="434"/>
      <c r="S301" s="434"/>
      <c r="T301" s="434"/>
      <c r="U301" s="434"/>
      <c r="V301" s="434"/>
      <c r="W301" s="434"/>
    </row>
    <row r="302">
      <c r="A302" s="434"/>
      <c r="B302" s="434"/>
      <c r="C302" s="434"/>
      <c r="D302" s="434"/>
      <c r="E302" s="434"/>
      <c r="F302" s="434"/>
      <c r="G302" s="434"/>
      <c r="H302" s="434"/>
      <c r="I302" s="434"/>
      <c r="J302" s="434"/>
      <c r="K302" s="434"/>
      <c r="L302" s="434"/>
      <c r="M302" s="434"/>
      <c r="N302" s="434"/>
      <c r="O302" s="434"/>
      <c r="P302" s="434"/>
      <c r="Q302" s="434"/>
      <c r="R302" s="434"/>
      <c r="S302" s="434"/>
      <c r="T302" s="434"/>
      <c r="U302" s="434"/>
      <c r="V302" s="434"/>
      <c r="W302" s="434"/>
    </row>
    <row r="303">
      <c r="A303" s="434"/>
      <c r="B303" s="434"/>
      <c r="C303" s="434"/>
      <c r="D303" s="434"/>
      <c r="E303" s="434"/>
      <c r="F303" s="434"/>
      <c r="G303" s="434"/>
      <c r="H303" s="434"/>
      <c r="I303" s="434"/>
      <c r="J303" s="434"/>
      <c r="K303" s="434"/>
      <c r="L303" s="434"/>
      <c r="M303" s="434"/>
      <c r="N303" s="434"/>
      <c r="O303" s="434"/>
      <c r="P303" s="434"/>
      <c r="Q303" s="434"/>
      <c r="R303" s="434"/>
      <c r="S303" s="434"/>
      <c r="T303" s="434"/>
      <c r="U303" s="434"/>
      <c r="V303" s="434"/>
      <c r="W303" s="434"/>
    </row>
    <row r="304">
      <c r="A304" s="434"/>
      <c r="B304" s="434"/>
      <c r="C304" s="434"/>
      <c r="D304" s="434"/>
      <c r="E304" s="434"/>
      <c r="F304" s="434"/>
      <c r="G304" s="434"/>
      <c r="H304" s="434"/>
      <c r="I304" s="434"/>
      <c r="J304" s="434"/>
      <c r="K304" s="434"/>
      <c r="L304" s="434"/>
      <c r="M304" s="434"/>
      <c r="N304" s="434"/>
      <c r="O304" s="434"/>
      <c r="P304" s="434"/>
      <c r="Q304" s="434"/>
      <c r="R304" s="434"/>
      <c r="S304" s="434"/>
      <c r="T304" s="434"/>
      <c r="U304" s="434"/>
      <c r="V304" s="434"/>
      <c r="W304" s="434"/>
    </row>
    <row r="305">
      <c r="A305" s="434"/>
      <c r="B305" s="434"/>
      <c r="C305" s="434"/>
      <c r="D305" s="434"/>
      <c r="E305" s="434"/>
      <c r="F305" s="434"/>
      <c r="G305" s="434"/>
      <c r="H305" s="434"/>
      <c r="I305" s="434"/>
      <c r="J305" s="434"/>
      <c r="K305" s="434"/>
      <c r="L305" s="434"/>
      <c r="M305" s="434"/>
      <c r="N305" s="434"/>
      <c r="O305" s="434"/>
      <c r="P305" s="434"/>
      <c r="Q305" s="434"/>
      <c r="R305" s="434"/>
      <c r="S305" s="434"/>
      <c r="T305" s="434"/>
      <c r="U305" s="434"/>
      <c r="V305" s="434"/>
      <c r="W305" s="434"/>
    </row>
    <row r="306">
      <c r="A306" s="434"/>
      <c r="B306" s="434"/>
      <c r="C306" s="434"/>
      <c r="D306" s="434"/>
      <c r="E306" s="434"/>
      <c r="F306" s="434"/>
      <c r="G306" s="434"/>
      <c r="H306" s="434"/>
      <c r="I306" s="434"/>
      <c r="J306" s="434"/>
      <c r="K306" s="434"/>
      <c r="L306" s="434"/>
      <c r="M306" s="434"/>
      <c r="N306" s="434"/>
      <c r="O306" s="434"/>
      <c r="P306" s="434"/>
      <c r="Q306" s="434"/>
      <c r="R306" s="434"/>
      <c r="S306" s="434"/>
      <c r="T306" s="434"/>
      <c r="U306" s="434"/>
      <c r="V306" s="434"/>
      <c r="W306" s="434"/>
    </row>
    <row r="307">
      <c r="A307" s="434"/>
      <c r="B307" s="434"/>
      <c r="C307" s="434"/>
      <c r="D307" s="434"/>
      <c r="E307" s="434"/>
      <c r="F307" s="434"/>
      <c r="G307" s="434"/>
      <c r="H307" s="434"/>
      <c r="I307" s="434"/>
      <c r="J307" s="434"/>
      <c r="K307" s="434"/>
      <c r="L307" s="434"/>
      <c r="M307" s="434"/>
      <c r="N307" s="434"/>
      <c r="O307" s="434"/>
      <c r="P307" s="434"/>
      <c r="Q307" s="434"/>
      <c r="R307" s="434"/>
      <c r="S307" s="434"/>
      <c r="T307" s="434"/>
      <c r="U307" s="434"/>
      <c r="V307" s="434"/>
      <c r="W307" s="434"/>
    </row>
    <row r="308">
      <c r="A308" s="434"/>
      <c r="B308" s="434"/>
      <c r="C308" s="434"/>
      <c r="D308" s="434"/>
      <c r="E308" s="434"/>
      <c r="F308" s="434"/>
      <c r="G308" s="434"/>
      <c r="H308" s="434"/>
      <c r="I308" s="434"/>
      <c r="J308" s="434"/>
      <c r="K308" s="434"/>
      <c r="L308" s="434"/>
      <c r="M308" s="434"/>
      <c r="N308" s="434"/>
      <c r="O308" s="434"/>
      <c r="P308" s="434"/>
      <c r="Q308" s="434"/>
      <c r="R308" s="434"/>
      <c r="S308" s="434"/>
      <c r="T308" s="434"/>
      <c r="U308" s="434"/>
      <c r="V308" s="434"/>
      <c r="W308" s="434"/>
    </row>
    <row r="309">
      <c r="A309" s="434"/>
      <c r="B309" s="434"/>
      <c r="C309" s="434"/>
      <c r="D309" s="434"/>
      <c r="E309" s="434"/>
      <c r="F309" s="434"/>
      <c r="G309" s="434"/>
      <c r="H309" s="434"/>
      <c r="I309" s="434"/>
      <c r="J309" s="434"/>
      <c r="K309" s="434"/>
      <c r="L309" s="434"/>
      <c r="M309" s="434"/>
      <c r="N309" s="434"/>
      <c r="O309" s="434"/>
      <c r="P309" s="434"/>
      <c r="Q309" s="434"/>
      <c r="R309" s="434"/>
      <c r="S309" s="434"/>
      <c r="T309" s="434"/>
      <c r="U309" s="434"/>
      <c r="V309" s="434"/>
      <c r="W309" s="434"/>
    </row>
    <row r="310">
      <c r="A310" s="434"/>
      <c r="B310" s="434"/>
      <c r="C310" s="434"/>
      <c r="D310" s="434"/>
      <c r="E310" s="434"/>
      <c r="F310" s="434"/>
      <c r="G310" s="434"/>
      <c r="H310" s="434"/>
      <c r="I310" s="434"/>
      <c r="J310" s="434"/>
      <c r="K310" s="434"/>
      <c r="L310" s="434"/>
      <c r="M310" s="434"/>
      <c r="N310" s="434"/>
      <c r="O310" s="434"/>
      <c r="P310" s="434"/>
      <c r="Q310" s="434"/>
      <c r="R310" s="434"/>
      <c r="S310" s="434"/>
      <c r="T310" s="434"/>
      <c r="U310" s="434"/>
      <c r="V310" s="434"/>
      <c r="W310" s="434"/>
    </row>
    <row r="311">
      <c r="A311" s="434"/>
      <c r="B311" s="434"/>
      <c r="C311" s="434"/>
      <c r="D311" s="434"/>
      <c r="E311" s="434"/>
      <c r="F311" s="434"/>
      <c r="G311" s="434"/>
      <c r="H311" s="434"/>
      <c r="I311" s="434"/>
      <c r="J311" s="434"/>
      <c r="K311" s="434"/>
      <c r="L311" s="434"/>
      <c r="M311" s="434"/>
      <c r="N311" s="434"/>
      <c r="O311" s="434"/>
      <c r="P311" s="434"/>
      <c r="Q311" s="434"/>
      <c r="R311" s="434"/>
      <c r="S311" s="434"/>
      <c r="T311" s="434"/>
      <c r="U311" s="434"/>
      <c r="V311" s="434"/>
      <c r="W311" s="434"/>
    </row>
    <row r="312">
      <c r="A312" s="434"/>
      <c r="B312" s="434"/>
      <c r="C312" s="434"/>
      <c r="D312" s="434"/>
      <c r="E312" s="434"/>
      <c r="F312" s="434"/>
      <c r="G312" s="434"/>
      <c r="H312" s="434"/>
      <c r="I312" s="434"/>
      <c r="J312" s="434"/>
      <c r="K312" s="434"/>
      <c r="L312" s="434"/>
      <c r="M312" s="434"/>
      <c r="N312" s="434"/>
      <c r="O312" s="434"/>
      <c r="P312" s="434"/>
      <c r="Q312" s="434"/>
      <c r="R312" s="434"/>
      <c r="S312" s="434"/>
      <c r="T312" s="434"/>
      <c r="U312" s="434"/>
      <c r="V312" s="434"/>
      <c r="W312" s="434"/>
    </row>
    <row r="313">
      <c r="A313" s="434"/>
      <c r="B313" s="434"/>
      <c r="C313" s="434"/>
      <c r="D313" s="434"/>
      <c r="E313" s="434"/>
      <c r="F313" s="434"/>
      <c r="G313" s="434"/>
      <c r="H313" s="434"/>
      <c r="I313" s="434"/>
      <c r="J313" s="434"/>
      <c r="K313" s="434"/>
      <c r="L313" s="434"/>
      <c r="M313" s="434"/>
      <c r="N313" s="434"/>
      <c r="O313" s="434"/>
      <c r="P313" s="434"/>
      <c r="Q313" s="434"/>
      <c r="R313" s="434"/>
      <c r="S313" s="434"/>
      <c r="T313" s="434"/>
      <c r="U313" s="434"/>
      <c r="V313" s="434"/>
      <c r="W313" s="434"/>
    </row>
    <row r="314">
      <c r="A314" s="434"/>
      <c r="B314" s="434"/>
      <c r="C314" s="434"/>
      <c r="D314" s="434"/>
      <c r="E314" s="434"/>
      <c r="F314" s="434"/>
      <c r="G314" s="434"/>
      <c r="H314" s="434"/>
      <c r="I314" s="434"/>
      <c r="J314" s="434"/>
      <c r="K314" s="434"/>
      <c r="L314" s="434"/>
      <c r="M314" s="434"/>
      <c r="N314" s="434"/>
      <c r="O314" s="434"/>
      <c r="P314" s="434"/>
      <c r="Q314" s="434"/>
      <c r="R314" s="434"/>
      <c r="S314" s="434"/>
      <c r="T314" s="434"/>
      <c r="U314" s="434"/>
      <c r="V314" s="434"/>
      <c r="W314" s="434"/>
    </row>
    <row r="315">
      <c r="A315" s="434"/>
      <c r="B315" s="434"/>
      <c r="C315" s="434"/>
      <c r="D315" s="434"/>
      <c r="E315" s="434"/>
      <c r="F315" s="434"/>
      <c r="G315" s="434"/>
      <c r="H315" s="434"/>
      <c r="I315" s="434"/>
      <c r="J315" s="434"/>
      <c r="K315" s="434"/>
      <c r="L315" s="434"/>
      <c r="M315" s="434"/>
      <c r="N315" s="434"/>
      <c r="O315" s="434"/>
      <c r="P315" s="434"/>
      <c r="Q315" s="434"/>
      <c r="R315" s="434"/>
      <c r="S315" s="434"/>
      <c r="T315" s="434"/>
      <c r="U315" s="434"/>
      <c r="V315" s="434"/>
      <c r="W315" s="434"/>
    </row>
    <row r="316">
      <c r="A316" s="434"/>
      <c r="B316" s="434"/>
      <c r="C316" s="434"/>
      <c r="D316" s="434"/>
      <c r="E316" s="434"/>
      <c r="F316" s="434"/>
      <c r="G316" s="434"/>
      <c r="H316" s="434"/>
      <c r="I316" s="434"/>
      <c r="J316" s="434"/>
      <c r="K316" s="434"/>
      <c r="L316" s="434"/>
      <c r="M316" s="434"/>
      <c r="N316" s="434"/>
      <c r="O316" s="434"/>
      <c r="P316" s="434"/>
      <c r="Q316" s="434"/>
      <c r="R316" s="434"/>
      <c r="S316" s="434"/>
      <c r="T316" s="434"/>
      <c r="U316" s="434"/>
      <c r="V316" s="434"/>
      <c r="W316" s="434"/>
    </row>
    <row r="317">
      <c r="A317" s="434"/>
      <c r="B317" s="434"/>
      <c r="C317" s="434"/>
      <c r="D317" s="434"/>
      <c r="E317" s="434"/>
      <c r="F317" s="434"/>
      <c r="G317" s="434"/>
      <c r="H317" s="434"/>
      <c r="I317" s="434"/>
      <c r="J317" s="434"/>
      <c r="K317" s="434"/>
      <c r="L317" s="434"/>
      <c r="M317" s="434"/>
      <c r="N317" s="434"/>
      <c r="O317" s="434"/>
      <c r="P317" s="434"/>
      <c r="Q317" s="434"/>
      <c r="R317" s="434"/>
      <c r="S317" s="434"/>
      <c r="T317" s="434"/>
      <c r="U317" s="434"/>
      <c r="V317" s="434"/>
      <c r="W317" s="434"/>
    </row>
    <row r="318">
      <c r="A318" s="434"/>
      <c r="B318" s="434"/>
      <c r="C318" s="434"/>
      <c r="D318" s="434"/>
      <c r="E318" s="434"/>
      <c r="F318" s="434"/>
      <c r="G318" s="434"/>
      <c r="H318" s="434"/>
      <c r="I318" s="434"/>
      <c r="J318" s="434"/>
      <c r="K318" s="434"/>
      <c r="L318" s="434"/>
      <c r="M318" s="434"/>
      <c r="N318" s="434"/>
      <c r="O318" s="434"/>
      <c r="P318" s="434"/>
      <c r="Q318" s="434"/>
      <c r="R318" s="434"/>
      <c r="S318" s="434"/>
      <c r="T318" s="434"/>
      <c r="U318" s="434"/>
      <c r="V318" s="434"/>
      <c r="W318" s="434"/>
    </row>
    <row r="319">
      <c r="A319" s="434"/>
      <c r="B319" s="434"/>
      <c r="C319" s="434"/>
      <c r="D319" s="434"/>
      <c r="E319" s="434"/>
      <c r="F319" s="434"/>
      <c r="G319" s="434"/>
      <c r="H319" s="434"/>
      <c r="I319" s="434"/>
      <c r="J319" s="434"/>
      <c r="K319" s="434"/>
      <c r="L319" s="434"/>
      <c r="M319" s="434"/>
      <c r="N319" s="434"/>
      <c r="O319" s="434"/>
      <c r="P319" s="434"/>
      <c r="Q319" s="434"/>
      <c r="R319" s="434"/>
      <c r="S319" s="434"/>
      <c r="T319" s="434"/>
      <c r="U319" s="434"/>
      <c r="V319" s="434"/>
      <c r="W319" s="434"/>
    </row>
    <row r="320">
      <c r="A320" s="434"/>
      <c r="B320" s="434"/>
      <c r="C320" s="434"/>
      <c r="D320" s="434"/>
      <c r="E320" s="434"/>
      <c r="F320" s="434"/>
      <c r="G320" s="434"/>
      <c r="H320" s="434"/>
      <c r="I320" s="434"/>
      <c r="J320" s="434"/>
      <c r="K320" s="434"/>
      <c r="L320" s="434"/>
      <c r="M320" s="434"/>
      <c r="N320" s="434"/>
      <c r="O320" s="434"/>
      <c r="P320" s="434"/>
      <c r="Q320" s="434"/>
      <c r="R320" s="434"/>
      <c r="S320" s="434"/>
      <c r="T320" s="434"/>
      <c r="U320" s="434"/>
      <c r="V320" s="434"/>
      <c r="W320" s="434"/>
    </row>
    <row r="321">
      <c r="A321" s="434"/>
      <c r="B321" s="434"/>
      <c r="C321" s="434"/>
      <c r="D321" s="434"/>
      <c r="E321" s="434"/>
      <c r="F321" s="434"/>
      <c r="G321" s="434"/>
      <c r="H321" s="434"/>
      <c r="I321" s="434"/>
      <c r="J321" s="434"/>
      <c r="K321" s="434"/>
      <c r="L321" s="434"/>
      <c r="M321" s="434"/>
      <c r="N321" s="434"/>
      <c r="O321" s="434"/>
      <c r="P321" s="434"/>
      <c r="Q321" s="434"/>
      <c r="R321" s="434"/>
      <c r="S321" s="434"/>
      <c r="T321" s="434"/>
      <c r="U321" s="434"/>
      <c r="V321" s="434"/>
      <c r="W321" s="434"/>
    </row>
    <row r="322">
      <c r="A322" s="434"/>
      <c r="B322" s="434"/>
      <c r="C322" s="434"/>
      <c r="D322" s="434"/>
      <c r="E322" s="434"/>
      <c r="F322" s="434"/>
      <c r="G322" s="434"/>
      <c r="H322" s="434"/>
      <c r="I322" s="434"/>
      <c r="J322" s="434"/>
      <c r="K322" s="434"/>
      <c r="L322" s="434"/>
      <c r="M322" s="434"/>
      <c r="N322" s="434"/>
      <c r="O322" s="434"/>
      <c r="P322" s="434"/>
      <c r="Q322" s="434"/>
      <c r="R322" s="434"/>
      <c r="S322" s="434"/>
      <c r="T322" s="434"/>
      <c r="U322" s="434"/>
      <c r="V322" s="434"/>
      <c r="W322" s="434"/>
    </row>
    <row r="323">
      <c r="A323" s="434"/>
      <c r="B323" s="434"/>
      <c r="C323" s="434"/>
      <c r="D323" s="434"/>
      <c r="E323" s="434"/>
      <c r="F323" s="434"/>
      <c r="G323" s="434"/>
      <c r="H323" s="434"/>
      <c r="I323" s="434"/>
      <c r="J323" s="434"/>
      <c r="K323" s="434"/>
      <c r="L323" s="434"/>
      <c r="M323" s="434"/>
      <c r="N323" s="434"/>
      <c r="O323" s="434"/>
      <c r="P323" s="434"/>
      <c r="Q323" s="434"/>
      <c r="R323" s="434"/>
      <c r="S323" s="434"/>
      <c r="T323" s="434"/>
      <c r="U323" s="434"/>
      <c r="V323" s="434"/>
      <c r="W323" s="434"/>
    </row>
    <row r="324">
      <c r="A324" s="434"/>
      <c r="B324" s="434"/>
      <c r="C324" s="434"/>
      <c r="D324" s="434"/>
      <c r="E324" s="434"/>
      <c r="F324" s="434"/>
      <c r="G324" s="434"/>
      <c r="H324" s="434"/>
      <c r="I324" s="434"/>
      <c r="J324" s="434"/>
      <c r="K324" s="434"/>
      <c r="L324" s="434"/>
      <c r="M324" s="434"/>
      <c r="N324" s="434"/>
      <c r="O324" s="434"/>
      <c r="P324" s="434"/>
      <c r="Q324" s="434"/>
      <c r="R324" s="434"/>
      <c r="S324" s="434"/>
      <c r="T324" s="434"/>
      <c r="U324" s="434"/>
      <c r="V324" s="434"/>
      <c r="W324" s="434"/>
    </row>
    <row r="325">
      <c r="A325" s="434"/>
      <c r="B325" s="434"/>
      <c r="C325" s="434"/>
      <c r="D325" s="434"/>
      <c r="E325" s="434"/>
      <c r="F325" s="434"/>
      <c r="G325" s="434"/>
      <c r="H325" s="434"/>
      <c r="I325" s="434"/>
      <c r="J325" s="434"/>
      <c r="K325" s="434"/>
      <c r="L325" s="434"/>
      <c r="M325" s="434"/>
      <c r="N325" s="434"/>
      <c r="O325" s="434"/>
      <c r="P325" s="434"/>
      <c r="Q325" s="434"/>
      <c r="R325" s="434"/>
      <c r="S325" s="434"/>
      <c r="T325" s="434"/>
      <c r="U325" s="434"/>
      <c r="V325" s="434"/>
      <c r="W325" s="434"/>
    </row>
    <row r="326">
      <c r="A326" s="434"/>
      <c r="B326" s="434"/>
      <c r="C326" s="434"/>
      <c r="D326" s="434"/>
      <c r="E326" s="434"/>
      <c r="F326" s="434"/>
      <c r="G326" s="434"/>
      <c r="H326" s="434"/>
      <c r="I326" s="434"/>
      <c r="J326" s="434"/>
      <c r="K326" s="434"/>
      <c r="L326" s="434"/>
      <c r="M326" s="434"/>
      <c r="N326" s="434"/>
      <c r="O326" s="434"/>
      <c r="P326" s="434"/>
      <c r="Q326" s="434"/>
      <c r="R326" s="434"/>
      <c r="S326" s="434"/>
      <c r="T326" s="434"/>
      <c r="U326" s="434"/>
      <c r="V326" s="434"/>
      <c r="W326" s="434"/>
    </row>
    <row r="327">
      <c r="A327" s="434"/>
      <c r="B327" s="434"/>
      <c r="C327" s="434"/>
      <c r="D327" s="434"/>
      <c r="E327" s="434"/>
      <c r="F327" s="434"/>
      <c r="G327" s="434"/>
      <c r="H327" s="434"/>
      <c r="I327" s="434"/>
      <c r="J327" s="434"/>
      <c r="K327" s="434"/>
      <c r="L327" s="434"/>
      <c r="M327" s="434"/>
      <c r="N327" s="434"/>
      <c r="O327" s="434"/>
      <c r="P327" s="434"/>
      <c r="Q327" s="434"/>
      <c r="R327" s="434"/>
      <c r="S327" s="434"/>
      <c r="T327" s="434"/>
      <c r="U327" s="434"/>
      <c r="V327" s="434"/>
      <c r="W327" s="434"/>
    </row>
    <row r="328">
      <c r="A328" s="434"/>
      <c r="B328" s="434"/>
      <c r="C328" s="434"/>
      <c r="D328" s="434"/>
      <c r="E328" s="434"/>
      <c r="F328" s="434"/>
      <c r="G328" s="434"/>
      <c r="H328" s="434"/>
      <c r="I328" s="434"/>
      <c r="J328" s="434"/>
      <c r="K328" s="434"/>
      <c r="L328" s="434"/>
      <c r="M328" s="434"/>
      <c r="N328" s="434"/>
      <c r="O328" s="434"/>
      <c r="P328" s="434"/>
      <c r="Q328" s="434"/>
      <c r="R328" s="434"/>
      <c r="S328" s="434"/>
      <c r="T328" s="434"/>
      <c r="U328" s="434"/>
      <c r="V328" s="434"/>
      <c r="W328" s="434"/>
    </row>
    <row r="329">
      <c r="A329" s="434"/>
      <c r="B329" s="434"/>
      <c r="C329" s="434"/>
      <c r="D329" s="434"/>
      <c r="E329" s="434"/>
      <c r="F329" s="434"/>
      <c r="G329" s="434"/>
      <c r="H329" s="434"/>
      <c r="I329" s="434"/>
      <c r="J329" s="434"/>
      <c r="K329" s="434"/>
      <c r="L329" s="434"/>
      <c r="M329" s="434"/>
      <c r="N329" s="434"/>
      <c r="O329" s="434"/>
      <c r="P329" s="434"/>
      <c r="Q329" s="434"/>
      <c r="R329" s="434"/>
      <c r="S329" s="434"/>
      <c r="T329" s="434"/>
      <c r="U329" s="434"/>
      <c r="V329" s="434"/>
      <c r="W329" s="434"/>
    </row>
    <row r="330">
      <c r="A330" s="434"/>
      <c r="B330" s="434"/>
      <c r="C330" s="434"/>
      <c r="D330" s="434"/>
      <c r="E330" s="434"/>
      <c r="F330" s="434"/>
      <c r="G330" s="434"/>
      <c r="H330" s="434"/>
      <c r="I330" s="434"/>
      <c r="J330" s="434"/>
      <c r="K330" s="434"/>
      <c r="L330" s="434"/>
      <c r="M330" s="434"/>
      <c r="N330" s="434"/>
      <c r="O330" s="434"/>
      <c r="P330" s="434"/>
      <c r="Q330" s="434"/>
      <c r="R330" s="434"/>
      <c r="S330" s="434"/>
      <c r="T330" s="434"/>
      <c r="U330" s="434"/>
      <c r="V330" s="434"/>
      <c r="W330" s="434"/>
    </row>
    <row r="331">
      <c r="A331" s="434"/>
      <c r="B331" s="434"/>
      <c r="C331" s="434"/>
      <c r="D331" s="434"/>
      <c r="E331" s="434"/>
      <c r="F331" s="434"/>
      <c r="G331" s="434"/>
      <c r="H331" s="434"/>
      <c r="I331" s="434"/>
      <c r="J331" s="434"/>
      <c r="K331" s="434"/>
      <c r="L331" s="434"/>
      <c r="M331" s="434"/>
      <c r="N331" s="434"/>
      <c r="O331" s="434"/>
      <c r="P331" s="434"/>
      <c r="Q331" s="434"/>
      <c r="R331" s="434"/>
      <c r="S331" s="434"/>
      <c r="T331" s="434"/>
      <c r="U331" s="434"/>
      <c r="V331" s="434"/>
      <c r="W331" s="434"/>
    </row>
    <row r="332">
      <c r="A332" s="434"/>
      <c r="B332" s="434"/>
      <c r="C332" s="434"/>
      <c r="D332" s="434"/>
      <c r="E332" s="434"/>
      <c r="F332" s="434"/>
      <c r="G332" s="434"/>
      <c r="H332" s="434"/>
      <c r="I332" s="434"/>
      <c r="J332" s="434"/>
      <c r="K332" s="434"/>
      <c r="L332" s="434"/>
      <c r="M332" s="434"/>
      <c r="N332" s="434"/>
      <c r="O332" s="434"/>
      <c r="P332" s="434"/>
      <c r="Q332" s="434"/>
      <c r="R332" s="434"/>
      <c r="S332" s="434"/>
      <c r="T332" s="434"/>
      <c r="U332" s="434"/>
      <c r="V332" s="434"/>
      <c r="W332" s="434"/>
    </row>
    <row r="333">
      <c r="A333" s="434"/>
      <c r="B333" s="434"/>
      <c r="C333" s="434"/>
      <c r="D333" s="434"/>
      <c r="E333" s="434"/>
      <c r="F333" s="434"/>
      <c r="G333" s="434"/>
      <c r="H333" s="434"/>
      <c r="I333" s="434"/>
      <c r="J333" s="434"/>
      <c r="K333" s="434"/>
      <c r="L333" s="434"/>
      <c r="M333" s="434"/>
      <c r="N333" s="434"/>
      <c r="O333" s="434"/>
      <c r="P333" s="434"/>
      <c r="Q333" s="434"/>
      <c r="R333" s="434"/>
      <c r="S333" s="434"/>
      <c r="T333" s="434"/>
      <c r="U333" s="434"/>
      <c r="V333" s="434"/>
      <c r="W333" s="434"/>
    </row>
    <row r="334">
      <c r="A334" s="434"/>
      <c r="B334" s="434"/>
      <c r="C334" s="434"/>
      <c r="D334" s="434"/>
      <c r="E334" s="434"/>
      <c r="F334" s="434"/>
      <c r="G334" s="434"/>
      <c r="H334" s="434"/>
      <c r="I334" s="434"/>
      <c r="J334" s="434"/>
      <c r="K334" s="434"/>
      <c r="L334" s="434"/>
      <c r="M334" s="434"/>
      <c r="N334" s="434"/>
      <c r="O334" s="434"/>
      <c r="P334" s="434"/>
      <c r="Q334" s="434"/>
      <c r="R334" s="434"/>
      <c r="S334" s="434"/>
      <c r="T334" s="434"/>
      <c r="U334" s="434"/>
      <c r="V334" s="434"/>
      <c r="W334" s="434"/>
    </row>
    <row r="335">
      <c r="A335" s="434"/>
      <c r="B335" s="434"/>
      <c r="C335" s="434"/>
      <c r="D335" s="434"/>
      <c r="E335" s="434"/>
      <c r="F335" s="434"/>
      <c r="G335" s="434"/>
      <c r="H335" s="434"/>
      <c r="I335" s="434"/>
      <c r="J335" s="434"/>
      <c r="K335" s="434"/>
      <c r="L335" s="434"/>
      <c r="M335" s="434"/>
      <c r="N335" s="434"/>
      <c r="O335" s="434"/>
      <c r="P335" s="434"/>
      <c r="Q335" s="434"/>
      <c r="R335" s="434"/>
      <c r="S335" s="434"/>
      <c r="T335" s="434"/>
      <c r="U335" s="434"/>
      <c r="V335" s="434"/>
      <c r="W335" s="434"/>
    </row>
    <row r="336">
      <c r="A336" s="434"/>
      <c r="B336" s="434"/>
      <c r="C336" s="434"/>
      <c r="D336" s="434"/>
      <c r="E336" s="434"/>
      <c r="F336" s="434"/>
      <c r="G336" s="434"/>
      <c r="H336" s="434"/>
      <c r="I336" s="434"/>
      <c r="J336" s="434"/>
      <c r="K336" s="434"/>
      <c r="L336" s="434"/>
      <c r="M336" s="434"/>
      <c r="N336" s="434"/>
      <c r="O336" s="434"/>
      <c r="P336" s="434"/>
      <c r="Q336" s="434"/>
      <c r="R336" s="434"/>
      <c r="S336" s="434"/>
      <c r="T336" s="434"/>
      <c r="U336" s="434"/>
      <c r="V336" s="434"/>
      <c r="W336" s="434"/>
    </row>
    <row r="337">
      <c r="A337" s="434"/>
      <c r="B337" s="434"/>
      <c r="C337" s="434"/>
      <c r="D337" s="434"/>
      <c r="E337" s="434"/>
      <c r="F337" s="434"/>
      <c r="G337" s="434"/>
      <c r="H337" s="434"/>
      <c r="I337" s="434"/>
      <c r="J337" s="434"/>
      <c r="K337" s="434"/>
      <c r="L337" s="434"/>
      <c r="M337" s="434"/>
      <c r="N337" s="434"/>
      <c r="O337" s="434"/>
      <c r="P337" s="434"/>
      <c r="Q337" s="434"/>
      <c r="R337" s="434"/>
      <c r="S337" s="434"/>
      <c r="T337" s="434"/>
      <c r="U337" s="434"/>
      <c r="V337" s="434"/>
      <c r="W337" s="434"/>
    </row>
    <row r="338">
      <c r="A338" s="434"/>
      <c r="B338" s="434"/>
      <c r="C338" s="434"/>
      <c r="D338" s="434"/>
      <c r="E338" s="434"/>
      <c r="F338" s="434"/>
      <c r="G338" s="434"/>
      <c r="H338" s="434"/>
      <c r="I338" s="434"/>
      <c r="J338" s="434"/>
      <c r="K338" s="434"/>
      <c r="L338" s="434"/>
      <c r="M338" s="434"/>
      <c r="N338" s="434"/>
      <c r="O338" s="434"/>
      <c r="P338" s="434"/>
      <c r="Q338" s="434"/>
      <c r="R338" s="434"/>
      <c r="S338" s="434"/>
      <c r="T338" s="434"/>
      <c r="U338" s="434"/>
      <c r="V338" s="434"/>
      <c r="W338" s="434"/>
    </row>
    <row r="339">
      <c r="A339" s="434"/>
      <c r="B339" s="434"/>
      <c r="C339" s="434"/>
      <c r="D339" s="434"/>
      <c r="E339" s="434"/>
      <c r="F339" s="434"/>
      <c r="G339" s="434"/>
      <c r="H339" s="434"/>
      <c r="I339" s="434"/>
      <c r="J339" s="434"/>
      <c r="K339" s="434"/>
      <c r="L339" s="434"/>
      <c r="M339" s="434"/>
      <c r="N339" s="434"/>
      <c r="O339" s="434"/>
      <c r="P339" s="434"/>
      <c r="Q339" s="434"/>
      <c r="R339" s="434"/>
      <c r="S339" s="434"/>
      <c r="T339" s="434"/>
      <c r="U339" s="434"/>
      <c r="V339" s="434"/>
      <c r="W339" s="434"/>
    </row>
    <row r="340">
      <c r="A340" s="434"/>
      <c r="B340" s="434"/>
      <c r="C340" s="434"/>
      <c r="D340" s="434"/>
      <c r="E340" s="434"/>
      <c r="F340" s="434"/>
      <c r="G340" s="434"/>
      <c r="H340" s="434"/>
      <c r="I340" s="434"/>
      <c r="J340" s="434"/>
      <c r="K340" s="434"/>
      <c r="L340" s="434"/>
      <c r="M340" s="434"/>
      <c r="N340" s="434"/>
      <c r="O340" s="434"/>
      <c r="P340" s="434"/>
      <c r="Q340" s="434"/>
      <c r="R340" s="434"/>
      <c r="S340" s="434"/>
      <c r="T340" s="434"/>
      <c r="U340" s="434"/>
      <c r="V340" s="434"/>
      <c r="W340" s="434"/>
    </row>
    <row r="341">
      <c r="A341" s="434"/>
      <c r="B341" s="434"/>
      <c r="C341" s="434"/>
      <c r="D341" s="434"/>
      <c r="E341" s="434"/>
      <c r="F341" s="434"/>
      <c r="G341" s="434"/>
      <c r="H341" s="434"/>
      <c r="I341" s="434"/>
      <c r="J341" s="434"/>
      <c r="K341" s="434"/>
      <c r="L341" s="434"/>
      <c r="M341" s="434"/>
      <c r="N341" s="434"/>
      <c r="O341" s="434"/>
      <c r="P341" s="434"/>
      <c r="Q341" s="434"/>
      <c r="R341" s="434"/>
      <c r="S341" s="434"/>
      <c r="T341" s="434"/>
      <c r="U341" s="434"/>
      <c r="V341" s="434"/>
      <c r="W341" s="434"/>
    </row>
    <row r="342">
      <c r="A342" s="434"/>
      <c r="B342" s="434"/>
      <c r="C342" s="434"/>
      <c r="D342" s="434"/>
      <c r="E342" s="434"/>
      <c r="F342" s="434"/>
      <c r="G342" s="434"/>
      <c r="H342" s="434"/>
      <c r="I342" s="434"/>
      <c r="J342" s="434"/>
      <c r="K342" s="434"/>
      <c r="L342" s="434"/>
      <c r="M342" s="434"/>
      <c r="N342" s="434"/>
      <c r="O342" s="434"/>
      <c r="P342" s="434"/>
      <c r="Q342" s="434"/>
      <c r="R342" s="434"/>
      <c r="S342" s="434"/>
      <c r="T342" s="434"/>
      <c r="U342" s="434"/>
      <c r="V342" s="434"/>
      <c r="W342" s="434"/>
    </row>
    <row r="343">
      <c r="A343" s="434"/>
      <c r="B343" s="434"/>
      <c r="C343" s="434"/>
      <c r="D343" s="434"/>
      <c r="E343" s="434"/>
      <c r="F343" s="434"/>
      <c r="G343" s="434"/>
      <c r="H343" s="434"/>
      <c r="I343" s="434"/>
      <c r="J343" s="434"/>
      <c r="K343" s="434"/>
      <c r="L343" s="434"/>
      <c r="M343" s="434"/>
      <c r="N343" s="434"/>
      <c r="O343" s="434"/>
      <c r="P343" s="434"/>
      <c r="Q343" s="434"/>
      <c r="R343" s="434"/>
      <c r="S343" s="434"/>
      <c r="T343" s="434"/>
      <c r="U343" s="434"/>
      <c r="V343" s="434"/>
      <c r="W343" s="434"/>
    </row>
    <row r="344">
      <c r="A344" s="434"/>
      <c r="B344" s="434"/>
      <c r="C344" s="434"/>
      <c r="D344" s="434"/>
      <c r="E344" s="434"/>
      <c r="F344" s="434"/>
      <c r="G344" s="434"/>
      <c r="H344" s="434"/>
      <c r="I344" s="434"/>
      <c r="J344" s="434"/>
      <c r="K344" s="434"/>
      <c r="L344" s="434"/>
      <c r="M344" s="434"/>
      <c r="N344" s="434"/>
      <c r="O344" s="434"/>
      <c r="P344" s="434"/>
      <c r="Q344" s="434"/>
      <c r="R344" s="434"/>
      <c r="S344" s="434"/>
      <c r="T344" s="434"/>
      <c r="U344" s="434"/>
      <c r="V344" s="434"/>
      <c r="W344" s="434"/>
    </row>
    <row r="345">
      <c r="A345" s="434"/>
      <c r="B345" s="434"/>
      <c r="C345" s="434"/>
      <c r="D345" s="434"/>
      <c r="E345" s="434"/>
      <c r="F345" s="434"/>
      <c r="G345" s="434"/>
      <c r="H345" s="434"/>
      <c r="I345" s="434"/>
      <c r="J345" s="434"/>
      <c r="K345" s="434"/>
      <c r="L345" s="434"/>
      <c r="M345" s="434"/>
      <c r="N345" s="434"/>
      <c r="O345" s="434"/>
      <c r="P345" s="434"/>
      <c r="Q345" s="434"/>
      <c r="R345" s="434"/>
      <c r="S345" s="434"/>
      <c r="T345" s="434"/>
      <c r="U345" s="434"/>
      <c r="V345" s="434"/>
      <c r="W345" s="434"/>
    </row>
    <row r="346">
      <c r="A346" s="434"/>
      <c r="B346" s="434"/>
      <c r="C346" s="434"/>
      <c r="D346" s="434"/>
      <c r="E346" s="434"/>
      <c r="F346" s="434"/>
      <c r="G346" s="434"/>
      <c r="H346" s="434"/>
      <c r="I346" s="434"/>
      <c r="J346" s="434"/>
      <c r="K346" s="434"/>
      <c r="L346" s="434"/>
      <c r="M346" s="434"/>
      <c r="N346" s="434"/>
      <c r="O346" s="434"/>
      <c r="P346" s="434"/>
      <c r="Q346" s="434"/>
      <c r="R346" s="434"/>
      <c r="S346" s="434"/>
      <c r="T346" s="434"/>
      <c r="U346" s="434"/>
      <c r="V346" s="434"/>
      <c r="W346" s="434"/>
    </row>
    <row r="347">
      <c r="A347" s="434"/>
      <c r="B347" s="434"/>
      <c r="C347" s="434"/>
      <c r="D347" s="434"/>
      <c r="E347" s="434"/>
      <c r="F347" s="434"/>
      <c r="G347" s="434"/>
      <c r="H347" s="434"/>
      <c r="I347" s="434"/>
      <c r="J347" s="434"/>
      <c r="K347" s="434"/>
      <c r="L347" s="434"/>
      <c r="M347" s="434"/>
      <c r="N347" s="434"/>
      <c r="O347" s="434"/>
      <c r="P347" s="434"/>
      <c r="Q347" s="434"/>
      <c r="R347" s="434"/>
      <c r="S347" s="434"/>
      <c r="T347" s="434"/>
      <c r="U347" s="434"/>
      <c r="V347" s="434"/>
      <c r="W347" s="434"/>
    </row>
    <row r="348">
      <c r="A348" s="434"/>
      <c r="B348" s="434"/>
      <c r="C348" s="434"/>
      <c r="D348" s="434"/>
      <c r="E348" s="434"/>
      <c r="F348" s="434"/>
      <c r="G348" s="434"/>
      <c r="H348" s="434"/>
      <c r="I348" s="434"/>
      <c r="J348" s="434"/>
      <c r="K348" s="434"/>
      <c r="L348" s="434"/>
      <c r="M348" s="434"/>
      <c r="N348" s="434"/>
      <c r="O348" s="434"/>
      <c r="P348" s="434"/>
      <c r="Q348" s="434"/>
      <c r="R348" s="434"/>
      <c r="S348" s="434"/>
      <c r="T348" s="434"/>
      <c r="U348" s="434"/>
      <c r="V348" s="434"/>
      <c r="W348" s="434"/>
    </row>
    <row r="349">
      <c r="A349" s="434"/>
      <c r="B349" s="434"/>
      <c r="C349" s="434"/>
      <c r="D349" s="434"/>
      <c r="E349" s="434"/>
      <c r="F349" s="434"/>
      <c r="G349" s="434"/>
      <c r="H349" s="434"/>
      <c r="I349" s="434"/>
      <c r="J349" s="434"/>
      <c r="K349" s="434"/>
      <c r="L349" s="434"/>
      <c r="M349" s="434"/>
      <c r="N349" s="434"/>
      <c r="O349" s="434"/>
      <c r="P349" s="434"/>
      <c r="Q349" s="434"/>
      <c r="R349" s="434"/>
      <c r="S349" s="434"/>
      <c r="T349" s="434"/>
      <c r="U349" s="434"/>
      <c r="V349" s="434"/>
      <c r="W349" s="434"/>
    </row>
    <row r="350">
      <c r="A350" s="434"/>
      <c r="B350" s="434"/>
      <c r="C350" s="434"/>
      <c r="D350" s="434"/>
      <c r="E350" s="434"/>
      <c r="F350" s="434"/>
      <c r="G350" s="434"/>
      <c r="H350" s="434"/>
      <c r="I350" s="434"/>
      <c r="J350" s="434"/>
      <c r="K350" s="434"/>
      <c r="L350" s="434"/>
      <c r="M350" s="434"/>
      <c r="N350" s="434"/>
      <c r="O350" s="434"/>
      <c r="P350" s="434"/>
      <c r="Q350" s="434"/>
      <c r="R350" s="434"/>
      <c r="S350" s="434"/>
      <c r="T350" s="434"/>
      <c r="U350" s="434"/>
      <c r="V350" s="434"/>
      <c r="W350" s="434"/>
    </row>
    <row r="351">
      <c r="A351" s="434"/>
      <c r="B351" s="434"/>
      <c r="C351" s="434"/>
      <c r="D351" s="434"/>
      <c r="E351" s="434"/>
      <c r="F351" s="434"/>
      <c r="G351" s="434"/>
      <c r="H351" s="434"/>
      <c r="I351" s="434"/>
      <c r="J351" s="434"/>
      <c r="K351" s="434"/>
      <c r="L351" s="434"/>
      <c r="M351" s="434"/>
      <c r="N351" s="434"/>
      <c r="O351" s="434"/>
      <c r="P351" s="434"/>
      <c r="Q351" s="434"/>
      <c r="R351" s="434"/>
      <c r="S351" s="434"/>
      <c r="T351" s="434"/>
      <c r="U351" s="434"/>
      <c r="V351" s="434"/>
      <c r="W351" s="434"/>
    </row>
    <row r="352">
      <c r="A352" s="434"/>
      <c r="B352" s="434"/>
      <c r="C352" s="434"/>
      <c r="D352" s="434"/>
      <c r="E352" s="434"/>
      <c r="F352" s="434"/>
      <c r="G352" s="434"/>
      <c r="H352" s="434"/>
      <c r="I352" s="434"/>
      <c r="J352" s="434"/>
      <c r="K352" s="434"/>
      <c r="L352" s="434"/>
      <c r="M352" s="434"/>
      <c r="N352" s="434"/>
      <c r="O352" s="434"/>
      <c r="P352" s="434"/>
      <c r="Q352" s="434"/>
      <c r="R352" s="434"/>
      <c r="S352" s="434"/>
      <c r="T352" s="434"/>
      <c r="U352" s="434"/>
      <c r="V352" s="434"/>
      <c r="W352" s="434"/>
    </row>
    <row r="353">
      <c r="A353" s="434"/>
      <c r="B353" s="434"/>
      <c r="C353" s="434"/>
      <c r="D353" s="434"/>
      <c r="E353" s="434"/>
      <c r="F353" s="434"/>
      <c r="G353" s="434"/>
      <c r="H353" s="434"/>
      <c r="I353" s="434"/>
      <c r="J353" s="434"/>
      <c r="K353" s="434"/>
      <c r="L353" s="434"/>
      <c r="M353" s="434"/>
      <c r="N353" s="434"/>
      <c r="O353" s="434"/>
      <c r="P353" s="434"/>
      <c r="Q353" s="434"/>
      <c r="R353" s="434"/>
      <c r="S353" s="434"/>
      <c r="T353" s="434"/>
      <c r="U353" s="434"/>
      <c r="V353" s="434"/>
      <c r="W353" s="434"/>
    </row>
    <row r="354">
      <c r="A354" s="434"/>
      <c r="B354" s="434"/>
      <c r="C354" s="434"/>
      <c r="D354" s="434"/>
      <c r="E354" s="434"/>
      <c r="F354" s="434"/>
      <c r="G354" s="434"/>
      <c r="H354" s="434"/>
      <c r="I354" s="434"/>
      <c r="J354" s="434"/>
      <c r="K354" s="434"/>
      <c r="L354" s="434"/>
      <c r="M354" s="434"/>
      <c r="N354" s="434"/>
      <c r="O354" s="434"/>
      <c r="P354" s="434"/>
      <c r="Q354" s="434"/>
      <c r="R354" s="434"/>
      <c r="S354" s="434"/>
      <c r="T354" s="434"/>
      <c r="U354" s="434"/>
      <c r="V354" s="434"/>
      <c r="W354" s="434"/>
    </row>
    <row r="355">
      <c r="A355" s="434"/>
      <c r="B355" s="434"/>
      <c r="C355" s="434"/>
      <c r="D355" s="434"/>
      <c r="E355" s="434"/>
      <c r="F355" s="434"/>
      <c r="G355" s="434"/>
      <c r="H355" s="434"/>
      <c r="I355" s="434"/>
      <c r="J355" s="434"/>
      <c r="K355" s="434"/>
      <c r="L355" s="434"/>
      <c r="M355" s="434"/>
      <c r="N355" s="434"/>
      <c r="O355" s="434"/>
      <c r="P355" s="434"/>
      <c r="Q355" s="434"/>
      <c r="R355" s="434"/>
      <c r="S355" s="434"/>
      <c r="T355" s="434"/>
      <c r="U355" s="434"/>
      <c r="V355" s="434"/>
      <c r="W355" s="434"/>
    </row>
    <row r="356">
      <c r="A356" s="434"/>
      <c r="B356" s="434"/>
      <c r="C356" s="434"/>
      <c r="D356" s="434"/>
      <c r="E356" s="434"/>
      <c r="F356" s="434"/>
      <c r="G356" s="434"/>
      <c r="H356" s="434"/>
      <c r="I356" s="434"/>
      <c r="J356" s="434"/>
      <c r="K356" s="434"/>
      <c r="L356" s="434"/>
      <c r="M356" s="434"/>
      <c r="N356" s="434"/>
      <c r="O356" s="434"/>
      <c r="P356" s="434"/>
      <c r="Q356" s="434"/>
      <c r="R356" s="434"/>
      <c r="S356" s="434"/>
      <c r="T356" s="434"/>
      <c r="U356" s="434"/>
      <c r="V356" s="434"/>
      <c r="W356" s="434"/>
    </row>
    <row r="357">
      <c r="A357" s="434"/>
      <c r="B357" s="434"/>
      <c r="C357" s="434"/>
      <c r="D357" s="434"/>
      <c r="E357" s="434"/>
      <c r="F357" s="434"/>
      <c r="G357" s="434"/>
      <c r="H357" s="434"/>
      <c r="I357" s="434"/>
      <c r="J357" s="434"/>
      <c r="K357" s="434"/>
      <c r="L357" s="434"/>
      <c r="M357" s="434"/>
      <c r="N357" s="434"/>
      <c r="O357" s="434"/>
      <c r="P357" s="434"/>
      <c r="Q357" s="434"/>
      <c r="R357" s="434"/>
      <c r="S357" s="434"/>
      <c r="T357" s="434"/>
      <c r="U357" s="434"/>
      <c r="V357" s="434"/>
      <c r="W357" s="434"/>
    </row>
    <row r="358">
      <c r="A358" s="434"/>
      <c r="B358" s="434"/>
      <c r="C358" s="434"/>
      <c r="D358" s="434"/>
      <c r="E358" s="434"/>
      <c r="F358" s="434"/>
      <c r="G358" s="434"/>
      <c r="H358" s="434"/>
      <c r="I358" s="434"/>
      <c r="J358" s="434"/>
      <c r="K358" s="434"/>
      <c r="L358" s="434"/>
      <c r="M358" s="434"/>
      <c r="N358" s="434"/>
      <c r="O358" s="434"/>
      <c r="P358" s="434"/>
      <c r="Q358" s="434"/>
      <c r="R358" s="434"/>
      <c r="S358" s="434"/>
      <c r="T358" s="434"/>
      <c r="U358" s="434"/>
      <c r="V358" s="434"/>
      <c r="W358" s="434"/>
    </row>
    <row r="359">
      <c r="A359" s="434"/>
      <c r="B359" s="434"/>
      <c r="C359" s="434"/>
      <c r="D359" s="434"/>
      <c r="E359" s="434"/>
      <c r="F359" s="434"/>
      <c r="G359" s="434"/>
      <c r="H359" s="434"/>
      <c r="I359" s="434"/>
      <c r="J359" s="434"/>
      <c r="K359" s="434"/>
      <c r="L359" s="434"/>
      <c r="M359" s="434"/>
      <c r="N359" s="434"/>
      <c r="O359" s="434"/>
      <c r="P359" s="434"/>
      <c r="Q359" s="434"/>
      <c r="R359" s="434"/>
      <c r="S359" s="434"/>
      <c r="T359" s="434"/>
      <c r="U359" s="434"/>
      <c r="V359" s="434"/>
      <c r="W359" s="434"/>
    </row>
    <row r="360">
      <c r="A360" s="434"/>
      <c r="B360" s="434"/>
      <c r="C360" s="434"/>
      <c r="D360" s="434"/>
      <c r="E360" s="434"/>
      <c r="F360" s="434"/>
      <c r="G360" s="434"/>
      <c r="H360" s="434"/>
      <c r="I360" s="434"/>
      <c r="J360" s="434"/>
      <c r="K360" s="434"/>
      <c r="L360" s="434"/>
      <c r="M360" s="434"/>
      <c r="N360" s="434"/>
      <c r="O360" s="434"/>
      <c r="P360" s="434"/>
      <c r="Q360" s="434"/>
      <c r="R360" s="434"/>
      <c r="S360" s="434"/>
      <c r="T360" s="434"/>
      <c r="U360" s="434"/>
      <c r="V360" s="434"/>
      <c r="W360" s="434"/>
    </row>
    <row r="361">
      <c r="A361" s="434"/>
      <c r="B361" s="434"/>
      <c r="C361" s="434"/>
      <c r="D361" s="434"/>
      <c r="E361" s="434"/>
      <c r="F361" s="434"/>
      <c r="G361" s="434"/>
      <c r="H361" s="434"/>
      <c r="I361" s="434"/>
      <c r="J361" s="434"/>
      <c r="K361" s="434"/>
      <c r="L361" s="434"/>
      <c r="M361" s="434"/>
      <c r="N361" s="434"/>
      <c r="O361" s="434"/>
      <c r="P361" s="434"/>
      <c r="Q361" s="434"/>
      <c r="R361" s="434"/>
      <c r="S361" s="434"/>
      <c r="T361" s="434"/>
      <c r="U361" s="434"/>
      <c r="V361" s="434"/>
      <c r="W361" s="434"/>
    </row>
    <row r="362">
      <c r="A362" s="434"/>
      <c r="B362" s="434"/>
      <c r="C362" s="434"/>
      <c r="D362" s="434"/>
      <c r="E362" s="434"/>
      <c r="F362" s="434"/>
      <c r="G362" s="434"/>
      <c r="H362" s="434"/>
      <c r="I362" s="434"/>
      <c r="J362" s="434"/>
      <c r="K362" s="434"/>
      <c r="L362" s="434"/>
      <c r="M362" s="434"/>
      <c r="N362" s="434"/>
      <c r="O362" s="434"/>
      <c r="P362" s="434"/>
      <c r="Q362" s="434"/>
      <c r="R362" s="434"/>
      <c r="S362" s="434"/>
      <c r="T362" s="434"/>
      <c r="U362" s="434"/>
      <c r="V362" s="434"/>
      <c r="W362" s="434"/>
    </row>
    <row r="363">
      <c r="A363" s="434"/>
      <c r="B363" s="434"/>
      <c r="C363" s="434"/>
      <c r="D363" s="434"/>
      <c r="E363" s="434"/>
      <c r="F363" s="434"/>
      <c r="G363" s="434"/>
      <c r="H363" s="434"/>
      <c r="I363" s="434"/>
      <c r="J363" s="434"/>
      <c r="K363" s="434"/>
      <c r="L363" s="434"/>
      <c r="M363" s="434"/>
      <c r="N363" s="434"/>
      <c r="O363" s="434"/>
      <c r="P363" s="434"/>
      <c r="Q363" s="434"/>
      <c r="R363" s="434"/>
      <c r="S363" s="434"/>
      <c r="T363" s="434"/>
      <c r="U363" s="434"/>
      <c r="V363" s="434"/>
      <c r="W363" s="434"/>
    </row>
    <row r="364">
      <c r="A364" s="434"/>
      <c r="B364" s="434"/>
      <c r="C364" s="434"/>
      <c r="D364" s="434"/>
      <c r="E364" s="434"/>
      <c r="F364" s="434"/>
      <c r="G364" s="434"/>
      <c r="H364" s="434"/>
      <c r="I364" s="434"/>
      <c r="J364" s="434"/>
      <c r="K364" s="434"/>
      <c r="L364" s="434"/>
      <c r="M364" s="434"/>
      <c r="N364" s="434"/>
      <c r="O364" s="434"/>
      <c r="P364" s="434"/>
      <c r="Q364" s="434"/>
      <c r="R364" s="434"/>
      <c r="S364" s="434"/>
      <c r="T364" s="434"/>
      <c r="U364" s="434"/>
      <c r="V364" s="434"/>
      <c r="W364" s="434"/>
    </row>
    <row r="365">
      <c r="A365" s="434"/>
      <c r="B365" s="434"/>
      <c r="C365" s="434"/>
      <c r="D365" s="434"/>
      <c r="E365" s="434"/>
      <c r="F365" s="434"/>
      <c r="G365" s="434"/>
      <c r="H365" s="434"/>
      <c r="I365" s="434"/>
      <c r="J365" s="434"/>
      <c r="K365" s="434"/>
      <c r="L365" s="434"/>
      <c r="M365" s="434"/>
      <c r="N365" s="434"/>
      <c r="O365" s="434"/>
      <c r="P365" s="434"/>
      <c r="Q365" s="434"/>
      <c r="R365" s="434"/>
      <c r="S365" s="434"/>
      <c r="T365" s="434"/>
      <c r="U365" s="434"/>
      <c r="V365" s="434"/>
      <c r="W365" s="434"/>
    </row>
    <row r="366">
      <c r="A366" s="434"/>
      <c r="B366" s="434"/>
      <c r="C366" s="434"/>
      <c r="D366" s="434"/>
      <c r="E366" s="434"/>
      <c r="F366" s="434"/>
      <c r="G366" s="434"/>
      <c r="H366" s="434"/>
      <c r="I366" s="434"/>
      <c r="J366" s="434"/>
      <c r="K366" s="434"/>
      <c r="L366" s="434"/>
      <c r="M366" s="434"/>
      <c r="N366" s="434"/>
      <c r="O366" s="434"/>
      <c r="P366" s="434"/>
      <c r="Q366" s="434"/>
      <c r="R366" s="434"/>
      <c r="S366" s="434"/>
      <c r="T366" s="434"/>
      <c r="U366" s="434"/>
      <c r="V366" s="434"/>
      <c r="W366" s="434"/>
    </row>
    <row r="367">
      <c r="A367" s="434"/>
      <c r="B367" s="434"/>
      <c r="C367" s="434"/>
      <c r="D367" s="434"/>
      <c r="E367" s="434"/>
      <c r="F367" s="434"/>
      <c r="G367" s="434"/>
      <c r="H367" s="434"/>
      <c r="I367" s="434"/>
      <c r="J367" s="434"/>
      <c r="K367" s="434"/>
      <c r="L367" s="434"/>
      <c r="M367" s="434"/>
      <c r="N367" s="434"/>
      <c r="O367" s="434"/>
      <c r="P367" s="434"/>
      <c r="Q367" s="434"/>
      <c r="R367" s="434"/>
      <c r="S367" s="434"/>
      <c r="T367" s="434"/>
      <c r="U367" s="434"/>
      <c r="V367" s="434"/>
      <c r="W367" s="434"/>
    </row>
    <row r="368">
      <c r="A368" s="434"/>
      <c r="B368" s="434"/>
      <c r="C368" s="434"/>
      <c r="D368" s="434"/>
      <c r="E368" s="434"/>
      <c r="F368" s="434"/>
      <c r="G368" s="434"/>
      <c r="H368" s="434"/>
      <c r="I368" s="434"/>
      <c r="J368" s="434"/>
      <c r="K368" s="434"/>
      <c r="L368" s="434"/>
      <c r="M368" s="434"/>
      <c r="N368" s="434"/>
      <c r="O368" s="434"/>
      <c r="P368" s="434"/>
      <c r="Q368" s="434"/>
      <c r="R368" s="434"/>
      <c r="S368" s="434"/>
      <c r="T368" s="434"/>
      <c r="U368" s="434"/>
      <c r="V368" s="434"/>
      <c r="W368" s="434"/>
    </row>
    <row r="369">
      <c r="A369" s="434"/>
      <c r="B369" s="434"/>
      <c r="C369" s="434"/>
      <c r="D369" s="434"/>
      <c r="E369" s="434"/>
      <c r="F369" s="434"/>
      <c r="G369" s="434"/>
      <c r="H369" s="434"/>
      <c r="I369" s="434"/>
      <c r="J369" s="434"/>
      <c r="K369" s="434"/>
      <c r="L369" s="434"/>
      <c r="M369" s="434"/>
      <c r="N369" s="434"/>
      <c r="O369" s="434"/>
      <c r="P369" s="434"/>
      <c r="Q369" s="434"/>
      <c r="R369" s="434"/>
      <c r="S369" s="434"/>
      <c r="T369" s="434"/>
      <c r="U369" s="434"/>
      <c r="V369" s="434"/>
      <c r="W369" s="434"/>
    </row>
    <row r="370">
      <c r="A370" s="434"/>
      <c r="B370" s="434"/>
      <c r="C370" s="434"/>
      <c r="D370" s="434"/>
      <c r="E370" s="434"/>
      <c r="F370" s="434"/>
      <c r="G370" s="434"/>
      <c r="H370" s="434"/>
      <c r="I370" s="434"/>
      <c r="J370" s="434"/>
      <c r="K370" s="434"/>
      <c r="L370" s="434"/>
      <c r="M370" s="434"/>
      <c r="N370" s="434"/>
      <c r="O370" s="434"/>
      <c r="P370" s="434"/>
      <c r="Q370" s="434"/>
      <c r="R370" s="434"/>
      <c r="S370" s="434"/>
      <c r="T370" s="434"/>
      <c r="U370" s="434"/>
      <c r="V370" s="434"/>
      <c r="W370" s="434"/>
    </row>
    <row r="371">
      <c r="A371" s="434"/>
      <c r="B371" s="434"/>
      <c r="C371" s="434"/>
      <c r="D371" s="434"/>
      <c r="E371" s="434"/>
      <c r="F371" s="434"/>
      <c r="G371" s="434"/>
      <c r="H371" s="434"/>
      <c r="I371" s="434"/>
      <c r="J371" s="434"/>
      <c r="K371" s="434"/>
      <c r="L371" s="434"/>
      <c r="M371" s="434"/>
      <c r="N371" s="434"/>
      <c r="O371" s="434"/>
      <c r="P371" s="434"/>
      <c r="Q371" s="434"/>
      <c r="R371" s="434"/>
      <c r="S371" s="434"/>
      <c r="T371" s="434"/>
      <c r="U371" s="434"/>
      <c r="V371" s="434"/>
      <c r="W371" s="434"/>
    </row>
    <row r="372">
      <c r="A372" s="434"/>
      <c r="B372" s="434"/>
      <c r="C372" s="434"/>
      <c r="D372" s="434"/>
      <c r="E372" s="434"/>
      <c r="F372" s="434"/>
      <c r="G372" s="434"/>
      <c r="H372" s="434"/>
      <c r="I372" s="434"/>
      <c r="J372" s="434"/>
      <c r="K372" s="434"/>
      <c r="L372" s="434"/>
      <c r="M372" s="434"/>
      <c r="N372" s="434"/>
      <c r="O372" s="434"/>
      <c r="P372" s="434"/>
      <c r="Q372" s="434"/>
      <c r="R372" s="434"/>
      <c r="S372" s="434"/>
      <c r="T372" s="434"/>
      <c r="U372" s="434"/>
      <c r="V372" s="434"/>
      <c r="W372" s="434"/>
    </row>
    <row r="373">
      <c r="A373" s="434"/>
      <c r="B373" s="434"/>
      <c r="C373" s="434"/>
      <c r="D373" s="434"/>
      <c r="E373" s="434"/>
      <c r="F373" s="434"/>
      <c r="G373" s="434"/>
      <c r="H373" s="434"/>
      <c r="I373" s="434"/>
      <c r="J373" s="434"/>
      <c r="K373" s="434"/>
      <c r="L373" s="434"/>
      <c r="M373" s="434"/>
      <c r="N373" s="434"/>
      <c r="O373" s="434"/>
      <c r="P373" s="434"/>
      <c r="Q373" s="434"/>
      <c r="R373" s="434"/>
      <c r="S373" s="434"/>
      <c r="T373" s="434"/>
      <c r="U373" s="434"/>
      <c r="V373" s="434"/>
      <c r="W373" s="434"/>
    </row>
    <row r="374">
      <c r="A374" s="434"/>
      <c r="B374" s="434"/>
      <c r="C374" s="434"/>
      <c r="D374" s="434"/>
      <c r="E374" s="434"/>
      <c r="F374" s="434"/>
      <c r="G374" s="434"/>
      <c r="H374" s="434"/>
      <c r="I374" s="434"/>
      <c r="J374" s="434"/>
      <c r="K374" s="434"/>
      <c r="L374" s="434"/>
      <c r="M374" s="434"/>
      <c r="N374" s="434"/>
      <c r="O374" s="434"/>
      <c r="P374" s="434"/>
      <c r="Q374" s="434"/>
      <c r="R374" s="434"/>
      <c r="S374" s="434"/>
      <c r="T374" s="434"/>
      <c r="U374" s="434"/>
      <c r="V374" s="434"/>
      <c r="W374" s="434"/>
    </row>
    <row r="375">
      <c r="A375" s="434"/>
      <c r="B375" s="434"/>
      <c r="C375" s="434"/>
      <c r="D375" s="434"/>
      <c r="E375" s="434"/>
      <c r="F375" s="434"/>
      <c r="G375" s="434"/>
      <c r="H375" s="434"/>
      <c r="I375" s="434"/>
      <c r="J375" s="434"/>
      <c r="K375" s="434"/>
      <c r="L375" s="434"/>
      <c r="M375" s="434"/>
      <c r="N375" s="434"/>
      <c r="O375" s="434"/>
      <c r="P375" s="434"/>
      <c r="Q375" s="434"/>
      <c r="R375" s="434"/>
      <c r="S375" s="434"/>
      <c r="T375" s="434"/>
      <c r="U375" s="434"/>
      <c r="V375" s="434"/>
      <c r="W375" s="434"/>
    </row>
    <row r="376">
      <c r="A376" s="434"/>
      <c r="B376" s="434"/>
      <c r="C376" s="434"/>
      <c r="D376" s="434"/>
      <c r="E376" s="434"/>
      <c r="F376" s="434"/>
      <c r="G376" s="434"/>
      <c r="H376" s="434"/>
      <c r="I376" s="434"/>
      <c r="J376" s="434"/>
      <c r="K376" s="434"/>
      <c r="L376" s="434"/>
      <c r="M376" s="434"/>
      <c r="N376" s="434"/>
      <c r="O376" s="434"/>
      <c r="P376" s="434"/>
      <c r="Q376" s="434"/>
      <c r="R376" s="434"/>
      <c r="S376" s="434"/>
      <c r="T376" s="434"/>
      <c r="U376" s="434"/>
      <c r="V376" s="434"/>
      <c r="W376" s="434"/>
    </row>
    <row r="377">
      <c r="A377" s="434"/>
      <c r="B377" s="434"/>
      <c r="C377" s="434"/>
      <c r="D377" s="434"/>
      <c r="E377" s="434"/>
      <c r="F377" s="434"/>
      <c r="G377" s="434"/>
      <c r="H377" s="434"/>
      <c r="I377" s="434"/>
      <c r="J377" s="434"/>
      <c r="K377" s="434"/>
      <c r="L377" s="434"/>
      <c r="M377" s="434"/>
      <c r="N377" s="434"/>
      <c r="O377" s="434"/>
      <c r="P377" s="434"/>
      <c r="Q377" s="434"/>
      <c r="R377" s="434"/>
      <c r="S377" s="434"/>
      <c r="T377" s="434"/>
      <c r="U377" s="434"/>
      <c r="V377" s="434"/>
      <c r="W377" s="434"/>
    </row>
    <row r="378">
      <c r="A378" s="434"/>
      <c r="B378" s="434"/>
      <c r="C378" s="434"/>
      <c r="D378" s="434"/>
      <c r="E378" s="434"/>
      <c r="F378" s="434"/>
      <c r="G378" s="434"/>
      <c r="H378" s="434"/>
      <c r="I378" s="434"/>
      <c r="J378" s="434"/>
      <c r="K378" s="434"/>
      <c r="L378" s="434"/>
      <c r="M378" s="434"/>
      <c r="N378" s="434"/>
      <c r="O378" s="434"/>
      <c r="P378" s="434"/>
      <c r="Q378" s="434"/>
      <c r="R378" s="434"/>
      <c r="S378" s="434"/>
      <c r="T378" s="434"/>
      <c r="U378" s="434"/>
      <c r="V378" s="434"/>
      <c r="W378" s="434"/>
    </row>
    <row r="379">
      <c r="A379" s="434"/>
      <c r="B379" s="434"/>
      <c r="C379" s="434"/>
      <c r="D379" s="434"/>
      <c r="E379" s="434"/>
      <c r="F379" s="434"/>
      <c r="G379" s="434"/>
      <c r="H379" s="434"/>
      <c r="I379" s="434"/>
      <c r="J379" s="434"/>
      <c r="K379" s="434"/>
      <c r="L379" s="434"/>
      <c r="M379" s="434"/>
      <c r="N379" s="434"/>
      <c r="O379" s="434"/>
      <c r="P379" s="434"/>
      <c r="Q379" s="434"/>
      <c r="R379" s="434"/>
      <c r="S379" s="434"/>
      <c r="T379" s="434"/>
      <c r="U379" s="434"/>
      <c r="V379" s="434"/>
      <c r="W379" s="434"/>
    </row>
    <row r="380">
      <c r="A380" s="434"/>
      <c r="B380" s="434"/>
      <c r="C380" s="434"/>
      <c r="D380" s="434"/>
      <c r="E380" s="434"/>
      <c r="F380" s="434"/>
      <c r="G380" s="434"/>
      <c r="H380" s="434"/>
      <c r="I380" s="434"/>
      <c r="J380" s="434"/>
      <c r="K380" s="434"/>
      <c r="L380" s="434"/>
      <c r="M380" s="434"/>
      <c r="N380" s="434"/>
      <c r="O380" s="434"/>
      <c r="P380" s="434"/>
      <c r="Q380" s="434"/>
      <c r="R380" s="434"/>
      <c r="S380" s="434"/>
      <c r="T380" s="434"/>
      <c r="U380" s="434"/>
      <c r="V380" s="434"/>
      <c r="W380" s="434"/>
    </row>
    <row r="381">
      <c r="A381" s="434"/>
      <c r="B381" s="434"/>
      <c r="C381" s="434"/>
      <c r="D381" s="434"/>
      <c r="E381" s="434"/>
      <c r="F381" s="434"/>
      <c r="G381" s="434"/>
      <c r="H381" s="434"/>
      <c r="I381" s="434"/>
      <c r="J381" s="434"/>
      <c r="K381" s="434"/>
      <c r="L381" s="434"/>
      <c r="M381" s="434"/>
      <c r="N381" s="434"/>
      <c r="O381" s="434"/>
      <c r="P381" s="434"/>
      <c r="Q381" s="434"/>
      <c r="R381" s="434"/>
      <c r="S381" s="434"/>
      <c r="T381" s="434"/>
      <c r="U381" s="434"/>
      <c r="V381" s="434"/>
      <c r="W381" s="434"/>
    </row>
    <row r="382">
      <c r="A382" s="434"/>
      <c r="B382" s="434"/>
      <c r="C382" s="434"/>
      <c r="D382" s="434"/>
      <c r="E382" s="434"/>
      <c r="F382" s="434"/>
      <c r="G382" s="434"/>
      <c r="H382" s="434"/>
      <c r="I382" s="434"/>
      <c r="J382" s="434"/>
      <c r="K382" s="434"/>
      <c r="L382" s="434"/>
      <c r="M382" s="434"/>
      <c r="N382" s="434"/>
      <c r="O382" s="434"/>
      <c r="P382" s="434"/>
      <c r="Q382" s="434"/>
      <c r="R382" s="434"/>
      <c r="S382" s="434"/>
      <c r="T382" s="434"/>
      <c r="U382" s="434"/>
      <c r="V382" s="434"/>
      <c r="W382" s="434"/>
    </row>
    <row r="383">
      <c r="A383" s="434"/>
      <c r="B383" s="434"/>
      <c r="C383" s="434"/>
      <c r="D383" s="434"/>
      <c r="E383" s="434"/>
      <c r="F383" s="434"/>
      <c r="G383" s="434"/>
      <c r="H383" s="434"/>
      <c r="I383" s="434"/>
      <c r="J383" s="434"/>
      <c r="K383" s="434"/>
      <c r="L383" s="434"/>
      <c r="M383" s="434"/>
      <c r="N383" s="434"/>
      <c r="O383" s="434"/>
      <c r="P383" s="434"/>
      <c r="Q383" s="434"/>
      <c r="R383" s="434"/>
      <c r="S383" s="434"/>
      <c r="T383" s="434"/>
      <c r="U383" s="434"/>
      <c r="V383" s="434"/>
      <c r="W383" s="434"/>
    </row>
    <row r="384">
      <c r="A384" s="434"/>
      <c r="B384" s="434"/>
      <c r="C384" s="434"/>
      <c r="D384" s="434"/>
      <c r="E384" s="434"/>
      <c r="F384" s="434"/>
      <c r="G384" s="434"/>
      <c r="H384" s="434"/>
      <c r="I384" s="434"/>
      <c r="J384" s="434"/>
      <c r="K384" s="434"/>
      <c r="L384" s="434"/>
      <c r="M384" s="434"/>
      <c r="N384" s="434"/>
      <c r="O384" s="434"/>
      <c r="P384" s="434"/>
      <c r="Q384" s="434"/>
      <c r="R384" s="434"/>
      <c r="S384" s="434"/>
      <c r="T384" s="434"/>
      <c r="U384" s="434"/>
      <c r="V384" s="434"/>
      <c r="W384" s="434"/>
    </row>
    <row r="385">
      <c r="A385" s="434"/>
      <c r="B385" s="434"/>
      <c r="C385" s="434"/>
      <c r="D385" s="434"/>
      <c r="E385" s="434"/>
      <c r="F385" s="434"/>
      <c r="G385" s="434"/>
      <c r="H385" s="434"/>
      <c r="I385" s="434"/>
      <c r="J385" s="434"/>
      <c r="K385" s="434"/>
      <c r="L385" s="434"/>
      <c r="M385" s="434"/>
      <c r="N385" s="434"/>
      <c r="O385" s="434"/>
      <c r="P385" s="434"/>
      <c r="Q385" s="434"/>
      <c r="R385" s="434"/>
      <c r="S385" s="434"/>
      <c r="T385" s="434"/>
      <c r="U385" s="434"/>
      <c r="V385" s="434"/>
      <c r="W385" s="434"/>
    </row>
    <row r="386">
      <c r="A386" s="434"/>
      <c r="B386" s="434"/>
      <c r="C386" s="434"/>
      <c r="D386" s="434"/>
      <c r="E386" s="434"/>
      <c r="F386" s="434"/>
      <c r="G386" s="434"/>
      <c r="H386" s="434"/>
      <c r="I386" s="434"/>
      <c r="J386" s="434"/>
      <c r="K386" s="434"/>
      <c r="L386" s="434"/>
      <c r="M386" s="434"/>
      <c r="N386" s="434"/>
      <c r="O386" s="434"/>
      <c r="P386" s="434"/>
      <c r="Q386" s="434"/>
      <c r="R386" s="434"/>
      <c r="S386" s="434"/>
      <c r="T386" s="434"/>
      <c r="U386" s="434"/>
      <c r="V386" s="434"/>
      <c r="W386" s="434"/>
    </row>
    <row r="387">
      <c r="A387" s="434"/>
      <c r="B387" s="434"/>
      <c r="C387" s="434"/>
      <c r="D387" s="434"/>
      <c r="E387" s="434"/>
      <c r="F387" s="434"/>
      <c r="G387" s="434"/>
      <c r="H387" s="434"/>
      <c r="I387" s="434"/>
      <c r="J387" s="434"/>
      <c r="K387" s="434"/>
      <c r="L387" s="434"/>
      <c r="M387" s="434"/>
      <c r="N387" s="434"/>
      <c r="O387" s="434"/>
      <c r="P387" s="434"/>
      <c r="Q387" s="434"/>
      <c r="R387" s="434"/>
      <c r="S387" s="434"/>
      <c r="T387" s="434"/>
      <c r="U387" s="434"/>
      <c r="V387" s="434"/>
      <c r="W387" s="434"/>
    </row>
    <row r="388">
      <c r="A388" s="434"/>
      <c r="B388" s="434"/>
      <c r="C388" s="434"/>
      <c r="D388" s="434"/>
      <c r="E388" s="434"/>
      <c r="F388" s="434"/>
      <c r="G388" s="434"/>
      <c r="H388" s="434"/>
      <c r="I388" s="434"/>
      <c r="J388" s="434"/>
      <c r="K388" s="434"/>
      <c r="L388" s="434"/>
      <c r="M388" s="434"/>
      <c r="N388" s="434"/>
      <c r="O388" s="434"/>
      <c r="P388" s="434"/>
      <c r="Q388" s="434"/>
      <c r="R388" s="434"/>
      <c r="S388" s="434"/>
      <c r="T388" s="434"/>
      <c r="U388" s="434"/>
      <c r="V388" s="434"/>
      <c r="W388" s="434"/>
    </row>
    <row r="389">
      <c r="A389" s="434"/>
      <c r="B389" s="434"/>
      <c r="C389" s="434"/>
      <c r="D389" s="434"/>
      <c r="E389" s="434"/>
      <c r="F389" s="434"/>
      <c r="G389" s="434"/>
      <c r="H389" s="434"/>
      <c r="I389" s="434"/>
      <c r="J389" s="434"/>
      <c r="K389" s="434"/>
      <c r="L389" s="434"/>
      <c r="M389" s="434"/>
      <c r="N389" s="434"/>
      <c r="O389" s="434"/>
      <c r="P389" s="434"/>
      <c r="Q389" s="434"/>
      <c r="R389" s="434"/>
      <c r="S389" s="434"/>
      <c r="T389" s="434"/>
      <c r="U389" s="434"/>
      <c r="V389" s="434"/>
      <c r="W389" s="434"/>
    </row>
    <row r="390">
      <c r="A390" s="434"/>
      <c r="B390" s="434"/>
      <c r="C390" s="434"/>
      <c r="D390" s="434"/>
      <c r="E390" s="434"/>
      <c r="F390" s="434"/>
      <c r="G390" s="434"/>
      <c r="H390" s="434"/>
      <c r="I390" s="434"/>
      <c r="J390" s="434"/>
      <c r="K390" s="434"/>
      <c r="L390" s="434"/>
      <c r="M390" s="434"/>
      <c r="N390" s="434"/>
      <c r="O390" s="434"/>
      <c r="P390" s="434"/>
      <c r="Q390" s="434"/>
      <c r="R390" s="434"/>
      <c r="S390" s="434"/>
      <c r="T390" s="434"/>
      <c r="U390" s="434"/>
      <c r="V390" s="434"/>
      <c r="W390" s="434"/>
    </row>
    <row r="391">
      <c r="A391" s="434"/>
      <c r="B391" s="434"/>
      <c r="C391" s="434"/>
      <c r="D391" s="434"/>
      <c r="E391" s="434"/>
      <c r="F391" s="434"/>
      <c r="G391" s="434"/>
      <c r="H391" s="434"/>
      <c r="I391" s="434"/>
      <c r="J391" s="434"/>
      <c r="K391" s="434"/>
      <c r="L391" s="434"/>
      <c r="M391" s="434"/>
      <c r="N391" s="434"/>
      <c r="O391" s="434"/>
      <c r="P391" s="434"/>
      <c r="Q391" s="434"/>
      <c r="R391" s="434"/>
      <c r="S391" s="434"/>
      <c r="T391" s="434"/>
      <c r="U391" s="434"/>
      <c r="V391" s="434"/>
      <c r="W391" s="434"/>
    </row>
    <row r="392">
      <c r="A392" s="434"/>
      <c r="B392" s="434"/>
      <c r="C392" s="434"/>
      <c r="D392" s="434"/>
      <c r="E392" s="434"/>
      <c r="F392" s="434"/>
      <c r="G392" s="434"/>
      <c r="H392" s="434"/>
      <c r="I392" s="434"/>
      <c r="J392" s="434"/>
      <c r="K392" s="434"/>
      <c r="L392" s="434"/>
      <c r="M392" s="434"/>
      <c r="N392" s="434"/>
      <c r="O392" s="434"/>
      <c r="P392" s="434"/>
      <c r="Q392" s="434"/>
      <c r="R392" s="434"/>
      <c r="S392" s="434"/>
      <c r="T392" s="434"/>
      <c r="U392" s="434"/>
      <c r="V392" s="434"/>
      <c r="W392" s="434"/>
    </row>
    <row r="393">
      <c r="A393" s="434"/>
      <c r="B393" s="434"/>
      <c r="C393" s="434"/>
      <c r="D393" s="434"/>
      <c r="E393" s="434"/>
      <c r="F393" s="434"/>
      <c r="G393" s="434"/>
      <c r="H393" s="434"/>
      <c r="I393" s="434"/>
      <c r="J393" s="434"/>
      <c r="K393" s="434"/>
      <c r="L393" s="434"/>
      <c r="M393" s="434"/>
      <c r="N393" s="434"/>
      <c r="O393" s="434"/>
      <c r="P393" s="434"/>
      <c r="Q393" s="434"/>
      <c r="R393" s="434"/>
      <c r="S393" s="434"/>
      <c r="T393" s="434"/>
      <c r="U393" s="434"/>
      <c r="V393" s="434"/>
      <c r="W393" s="434"/>
    </row>
    <row r="394">
      <c r="A394" s="434"/>
      <c r="B394" s="434"/>
      <c r="C394" s="434"/>
      <c r="D394" s="434"/>
      <c r="E394" s="434"/>
      <c r="F394" s="434"/>
      <c r="G394" s="434"/>
      <c r="H394" s="434"/>
      <c r="I394" s="434"/>
      <c r="J394" s="434"/>
      <c r="K394" s="434"/>
      <c r="L394" s="434"/>
      <c r="M394" s="434"/>
      <c r="N394" s="434"/>
      <c r="O394" s="434"/>
      <c r="P394" s="434"/>
      <c r="Q394" s="434"/>
      <c r="R394" s="434"/>
      <c r="S394" s="434"/>
      <c r="T394" s="434"/>
      <c r="U394" s="434"/>
      <c r="V394" s="434"/>
      <c r="W394" s="434"/>
    </row>
    <row r="395">
      <c r="A395" s="434"/>
      <c r="B395" s="434"/>
      <c r="C395" s="434"/>
      <c r="D395" s="434"/>
      <c r="E395" s="434"/>
      <c r="F395" s="434"/>
      <c r="G395" s="434"/>
      <c r="H395" s="434"/>
      <c r="I395" s="434"/>
      <c r="J395" s="434"/>
      <c r="K395" s="434"/>
      <c r="L395" s="434"/>
      <c r="M395" s="434"/>
      <c r="N395" s="434"/>
      <c r="O395" s="434"/>
      <c r="P395" s="434"/>
      <c r="Q395" s="434"/>
      <c r="R395" s="434"/>
      <c r="S395" s="434"/>
      <c r="T395" s="434"/>
      <c r="U395" s="434"/>
      <c r="V395" s="434"/>
      <c r="W395" s="434"/>
    </row>
    <row r="396">
      <c r="A396" s="434"/>
      <c r="B396" s="434"/>
      <c r="C396" s="434"/>
      <c r="D396" s="434"/>
      <c r="E396" s="434"/>
      <c r="F396" s="434"/>
      <c r="G396" s="434"/>
      <c r="H396" s="434"/>
      <c r="I396" s="434"/>
      <c r="J396" s="434"/>
      <c r="K396" s="434"/>
      <c r="L396" s="434"/>
      <c r="M396" s="434"/>
      <c r="N396" s="434"/>
      <c r="O396" s="434"/>
      <c r="P396" s="434"/>
      <c r="Q396" s="434"/>
      <c r="R396" s="434"/>
      <c r="S396" s="434"/>
      <c r="T396" s="434"/>
      <c r="U396" s="434"/>
      <c r="V396" s="434"/>
      <c r="W396" s="434"/>
    </row>
    <row r="397">
      <c r="A397" s="434"/>
      <c r="B397" s="434"/>
      <c r="C397" s="434"/>
      <c r="D397" s="434"/>
      <c r="E397" s="434"/>
      <c r="F397" s="434"/>
      <c r="G397" s="434"/>
      <c r="H397" s="434"/>
      <c r="I397" s="434"/>
      <c r="J397" s="434"/>
      <c r="K397" s="434"/>
      <c r="L397" s="434"/>
      <c r="M397" s="434"/>
      <c r="N397" s="434"/>
      <c r="O397" s="434"/>
      <c r="P397" s="434"/>
      <c r="Q397" s="434"/>
      <c r="R397" s="434"/>
      <c r="S397" s="434"/>
      <c r="T397" s="434"/>
      <c r="U397" s="434"/>
      <c r="V397" s="434"/>
      <c r="W397" s="434"/>
    </row>
    <row r="398">
      <c r="A398" s="434"/>
      <c r="B398" s="434"/>
      <c r="C398" s="434"/>
      <c r="D398" s="434"/>
      <c r="E398" s="434"/>
      <c r="F398" s="434"/>
      <c r="G398" s="434"/>
      <c r="H398" s="434"/>
      <c r="I398" s="434"/>
      <c r="J398" s="434"/>
      <c r="K398" s="434"/>
      <c r="L398" s="434"/>
      <c r="M398" s="434"/>
      <c r="N398" s="434"/>
      <c r="O398" s="434"/>
      <c r="P398" s="434"/>
      <c r="Q398" s="434"/>
      <c r="R398" s="434"/>
      <c r="S398" s="434"/>
      <c r="T398" s="434"/>
      <c r="U398" s="434"/>
      <c r="V398" s="434"/>
      <c r="W398" s="434"/>
    </row>
    <row r="399">
      <c r="A399" s="434"/>
      <c r="B399" s="434"/>
      <c r="C399" s="434"/>
      <c r="D399" s="434"/>
      <c r="E399" s="434"/>
      <c r="F399" s="434"/>
      <c r="G399" s="434"/>
      <c r="H399" s="434"/>
      <c r="I399" s="434"/>
      <c r="J399" s="434"/>
      <c r="K399" s="434"/>
      <c r="L399" s="434"/>
      <c r="M399" s="434"/>
      <c r="N399" s="434"/>
      <c r="O399" s="434"/>
      <c r="P399" s="434"/>
      <c r="Q399" s="434"/>
      <c r="R399" s="434"/>
      <c r="S399" s="434"/>
      <c r="T399" s="434"/>
      <c r="U399" s="434"/>
      <c r="V399" s="434"/>
      <c r="W399" s="434"/>
    </row>
    <row r="400">
      <c r="A400" s="434"/>
      <c r="B400" s="434"/>
      <c r="C400" s="434"/>
      <c r="D400" s="434"/>
      <c r="E400" s="434"/>
      <c r="F400" s="434"/>
      <c r="G400" s="434"/>
      <c r="H400" s="434"/>
      <c r="I400" s="434"/>
      <c r="J400" s="434"/>
      <c r="K400" s="434"/>
      <c r="L400" s="434"/>
      <c r="M400" s="434"/>
      <c r="N400" s="434"/>
      <c r="O400" s="434"/>
      <c r="P400" s="434"/>
      <c r="Q400" s="434"/>
      <c r="R400" s="434"/>
      <c r="S400" s="434"/>
      <c r="T400" s="434"/>
      <c r="U400" s="434"/>
      <c r="V400" s="434"/>
      <c r="W400" s="434"/>
    </row>
    <row r="401">
      <c r="A401" s="434"/>
      <c r="B401" s="434"/>
      <c r="C401" s="434"/>
      <c r="D401" s="434"/>
      <c r="E401" s="434"/>
      <c r="F401" s="434"/>
      <c r="G401" s="434"/>
      <c r="H401" s="434"/>
      <c r="I401" s="434"/>
      <c r="J401" s="434"/>
      <c r="K401" s="434"/>
      <c r="L401" s="434"/>
      <c r="M401" s="434"/>
      <c r="N401" s="434"/>
      <c r="O401" s="434"/>
      <c r="P401" s="434"/>
      <c r="Q401" s="434"/>
      <c r="R401" s="434"/>
      <c r="S401" s="434"/>
      <c r="T401" s="434"/>
      <c r="U401" s="434"/>
      <c r="V401" s="434"/>
      <c r="W401" s="434"/>
    </row>
    <row r="402">
      <c r="A402" s="434"/>
      <c r="B402" s="434"/>
      <c r="C402" s="434"/>
      <c r="D402" s="434"/>
      <c r="E402" s="434"/>
      <c r="F402" s="434"/>
      <c r="G402" s="434"/>
      <c r="H402" s="434"/>
      <c r="I402" s="434"/>
      <c r="J402" s="434"/>
      <c r="K402" s="434"/>
      <c r="L402" s="434"/>
      <c r="M402" s="434"/>
      <c r="N402" s="434"/>
      <c r="O402" s="434"/>
      <c r="P402" s="434"/>
      <c r="Q402" s="434"/>
      <c r="R402" s="434"/>
      <c r="S402" s="434"/>
      <c r="T402" s="434"/>
      <c r="U402" s="434"/>
      <c r="V402" s="434"/>
      <c r="W402" s="434"/>
    </row>
    <row r="403">
      <c r="A403" s="434"/>
      <c r="B403" s="434"/>
      <c r="C403" s="434"/>
      <c r="D403" s="434"/>
      <c r="E403" s="434"/>
      <c r="F403" s="434"/>
      <c r="G403" s="434"/>
      <c r="H403" s="434"/>
      <c r="I403" s="434"/>
      <c r="J403" s="434"/>
      <c r="K403" s="434"/>
      <c r="L403" s="434"/>
      <c r="M403" s="434"/>
      <c r="N403" s="434"/>
      <c r="O403" s="434"/>
      <c r="P403" s="434"/>
      <c r="Q403" s="434"/>
      <c r="R403" s="434"/>
      <c r="S403" s="434"/>
      <c r="T403" s="434"/>
      <c r="U403" s="434"/>
      <c r="V403" s="434"/>
      <c r="W403" s="434"/>
    </row>
    <row r="404">
      <c r="A404" s="434"/>
      <c r="B404" s="434"/>
      <c r="C404" s="434"/>
      <c r="D404" s="434"/>
      <c r="E404" s="434"/>
      <c r="F404" s="434"/>
      <c r="G404" s="434"/>
      <c r="H404" s="434"/>
      <c r="I404" s="434"/>
      <c r="J404" s="434"/>
      <c r="K404" s="434"/>
      <c r="L404" s="434"/>
      <c r="M404" s="434"/>
      <c r="N404" s="434"/>
      <c r="O404" s="434"/>
      <c r="P404" s="434"/>
      <c r="Q404" s="434"/>
      <c r="R404" s="434"/>
      <c r="S404" s="434"/>
      <c r="T404" s="434"/>
      <c r="U404" s="434"/>
      <c r="V404" s="434"/>
      <c r="W404" s="434"/>
    </row>
    <row r="405">
      <c r="A405" s="434"/>
      <c r="B405" s="434"/>
      <c r="C405" s="434"/>
      <c r="D405" s="434"/>
      <c r="E405" s="434"/>
      <c r="F405" s="434"/>
      <c r="G405" s="434"/>
      <c r="H405" s="434"/>
      <c r="I405" s="434"/>
      <c r="J405" s="434"/>
      <c r="K405" s="434"/>
      <c r="L405" s="434"/>
      <c r="M405" s="434"/>
      <c r="N405" s="434"/>
      <c r="O405" s="434"/>
      <c r="P405" s="434"/>
      <c r="Q405" s="434"/>
      <c r="R405" s="434"/>
      <c r="S405" s="434"/>
      <c r="T405" s="434"/>
      <c r="U405" s="434"/>
      <c r="V405" s="434"/>
      <c r="W405" s="434"/>
    </row>
    <row r="406">
      <c r="A406" s="434"/>
      <c r="B406" s="434"/>
      <c r="C406" s="434"/>
      <c r="D406" s="434"/>
      <c r="E406" s="434"/>
      <c r="F406" s="434"/>
      <c r="G406" s="434"/>
      <c r="H406" s="434"/>
      <c r="I406" s="434"/>
      <c r="J406" s="434"/>
      <c r="K406" s="434"/>
      <c r="L406" s="434"/>
      <c r="M406" s="434"/>
      <c r="N406" s="434"/>
      <c r="O406" s="434"/>
      <c r="P406" s="434"/>
      <c r="Q406" s="434"/>
      <c r="R406" s="434"/>
      <c r="S406" s="434"/>
      <c r="T406" s="434"/>
      <c r="U406" s="434"/>
      <c r="V406" s="434"/>
      <c r="W406" s="434"/>
    </row>
    <row r="407">
      <c r="A407" s="434"/>
      <c r="B407" s="434"/>
      <c r="C407" s="434"/>
      <c r="D407" s="434"/>
      <c r="E407" s="434"/>
      <c r="F407" s="434"/>
      <c r="G407" s="434"/>
      <c r="H407" s="434"/>
      <c r="I407" s="434"/>
      <c r="J407" s="434"/>
      <c r="K407" s="434"/>
      <c r="L407" s="434"/>
      <c r="M407" s="434"/>
      <c r="N407" s="434"/>
      <c r="O407" s="434"/>
      <c r="P407" s="434"/>
      <c r="Q407" s="434"/>
      <c r="R407" s="434"/>
      <c r="S407" s="434"/>
      <c r="T407" s="434"/>
      <c r="U407" s="434"/>
      <c r="V407" s="434"/>
      <c r="W407" s="434"/>
    </row>
    <row r="408">
      <c r="A408" s="434"/>
      <c r="B408" s="434"/>
      <c r="C408" s="434"/>
      <c r="D408" s="434"/>
      <c r="E408" s="434"/>
      <c r="F408" s="434"/>
      <c r="G408" s="434"/>
      <c r="H408" s="434"/>
      <c r="I408" s="434"/>
      <c r="J408" s="434"/>
      <c r="K408" s="434"/>
      <c r="L408" s="434"/>
      <c r="M408" s="434"/>
      <c r="N408" s="434"/>
      <c r="O408" s="434"/>
      <c r="P408" s="434"/>
      <c r="Q408" s="434"/>
      <c r="R408" s="434"/>
      <c r="S408" s="434"/>
      <c r="T408" s="434"/>
      <c r="U408" s="434"/>
      <c r="V408" s="434"/>
      <c r="W408" s="434"/>
    </row>
    <row r="409">
      <c r="A409" s="434"/>
      <c r="B409" s="434"/>
      <c r="C409" s="434"/>
      <c r="D409" s="434"/>
      <c r="E409" s="434"/>
      <c r="F409" s="434"/>
      <c r="G409" s="434"/>
      <c r="H409" s="434"/>
      <c r="I409" s="434"/>
      <c r="J409" s="434"/>
      <c r="K409" s="434"/>
      <c r="L409" s="434"/>
      <c r="M409" s="434"/>
      <c r="N409" s="434"/>
      <c r="O409" s="434"/>
      <c r="P409" s="434"/>
      <c r="Q409" s="434"/>
      <c r="R409" s="434"/>
      <c r="S409" s="434"/>
      <c r="T409" s="434"/>
      <c r="U409" s="434"/>
      <c r="V409" s="434"/>
      <c r="W409" s="434"/>
    </row>
    <row r="410">
      <c r="A410" s="434"/>
      <c r="B410" s="434"/>
      <c r="C410" s="434"/>
      <c r="D410" s="434"/>
      <c r="E410" s="434"/>
      <c r="F410" s="434"/>
      <c r="G410" s="434"/>
      <c r="H410" s="434"/>
      <c r="I410" s="434"/>
      <c r="J410" s="434"/>
      <c r="K410" s="434"/>
      <c r="L410" s="434"/>
      <c r="M410" s="434"/>
      <c r="N410" s="434"/>
      <c r="O410" s="434"/>
      <c r="P410" s="434"/>
      <c r="Q410" s="434"/>
      <c r="R410" s="434"/>
      <c r="S410" s="434"/>
      <c r="T410" s="434"/>
      <c r="U410" s="434"/>
      <c r="V410" s="434"/>
      <c r="W410" s="434"/>
    </row>
    <row r="411">
      <c r="A411" s="434"/>
      <c r="B411" s="434"/>
      <c r="C411" s="434"/>
      <c r="D411" s="434"/>
      <c r="E411" s="434"/>
      <c r="F411" s="434"/>
      <c r="G411" s="434"/>
      <c r="H411" s="434"/>
      <c r="I411" s="434"/>
      <c r="J411" s="434"/>
      <c r="K411" s="434"/>
      <c r="L411" s="434"/>
      <c r="M411" s="434"/>
      <c r="N411" s="434"/>
      <c r="O411" s="434"/>
      <c r="P411" s="434"/>
      <c r="Q411" s="434"/>
      <c r="R411" s="434"/>
      <c r="S411" s="434"/>
      <c r="T411" s="434"/>
      <c r="U411" s="434"/>
      <c r="V411" s="434"/>
      <c r="W411" s="434"/>
    </row>
    <row r="412">
      <c r="A412" s="434"/>
      <c r="B412" s="434"/>
      <c r="C412" s="434"/>
      <c r="D412" s="434"/>
      <c r="E412" s="434"/>
      <c r="F412" s="434"/>
      <c r="G412" s="434"/>
      <c r="H412" s="434"/>
      <c r="I412" s="434"/>
      <c r="J412" s="434"/>
      <c r="K412" s="434"/>
      <c r="L412" s="434"/>
      <c r="M412" s="434"/>
      <c r="N412" s="434"/>
      <c r="O412" s="434"/>
      <c r="P412" s="434"/>
      <c r="Q412" s="434"/>
      <c r="R412" s="434"/>
      <c r="S412" s="434"/>
      <c r="T412" s="434"/>
      <c r="U412" s="434"/>
      <c r="V412" s="434"/>
      <c r="W412" s="434"/>
    </row>
    <row r="413">
      <c r="A413" s="434"/>
      <c r="B413" s="434"/>
      <c r="C413" s="434"/>
      <c r="D413" s="434"/>
      <c r="E413" s="434"/>
      <c r="F413" s="434"/>
      <c r="G413" s="434"/>
      <c r="H413" s="434"/>
      <c r="I413" s="434"/>
      <c r="J413" s="434"/>
      <c r="K413" s="434"/>
      <c r="L413" s="434"/>
      <c r="M413" s="434"/>
      <c r="N413" s="434"/>
      <c r="O413" s="434"/>
      <c r="P413" s="434"/>
      <c r="Q413" s="434"/>
      <c r="R413" s="434"/>
      <c r="S413" s="434"/>
      <c r="T413" s="434"/>
      <c r="U413" s="434"/>
      <c r="V413" s="434"/>
      <c r="W413" s="434"/>
    </row>
    <row r="414">
      <c r="A414" s="434"/>
      <c r="B414" s="434"/>
      <c r="C414" s="434"/>
      <c r="D414" s="434"/>
      <c r="E414" s="434"/>
      <c r="F414" s="434"/>
      <c r="G414" s="434"/>
      <c r="H414" s="434"/>
      <c r="I414" s="434"/>
      <c r="J414" s="434"/>
      <c r="K414" s="434"/>
      <c r="L414" s="434"/>
      <c r="M414" s="434"/>
      <c r="N414" s="434"/>
      <c r="O414" s="434"/>
      <c r="P414" s="434"/>
      <c r="Q414" s="434"/>
      <c r="R414" s="434"/>
      <c r="S414" s="434"/>
      <c r="T414" s="434"/>
      <c r="U414" s="434"/>
      <c r="V414" s="434"/>
      <c r="W414" s="434"/>
    </row>
    <row r="415">
      <c r="A415" s="434"/>
      <c r="B415" s="434"/>
      <c r="C415" s="434"/>
      <c r="D415" s="434"/>
      <c r="E415" s="434"/>
      <c r="F415" s="434"/>
      <c r="G415" s="434"/>
      <c r="H415" s="434"/>
      <c r="I415" s="434"/>
      <c r="J415" s="434"/>
      <c r="K415" s="434"/>
      <c r="L415" s="434"/>
      <c r="M415" s="434"/>
      <c r="N415" s="434"/>
      <c r="O415" s="434"/>
      <c r="P415" s="434"/>
      <c r="Q415" s="434"/>
      <c r="R415" s="434"/>
      <c r="S415" s="434"/>
      <c r="T415" s="434"/>
      <c r="U415" s="434"/>
      <c r="V415" s="434"/>
      <c r="W415" s="434"/>
    </row>
    <row r="416">
      <c r="A416" s="434"/>
      <c r="B416" s="434"/>
      <c r="C416" s="434"/>
      <c r="D416" s="434"/>
      <c r="E416" s="434"/>
      <c r="F416" s="434"/>
      <c r="G416" s="434"/>
      <c r="H416" s="434"/>
      <c r="I416" s="434"/>
      <c r="J416" s="434"/>
      <c r="K416" s="434"/>
      <c r="L416" s="434"/>
      <c r="M416" s="434"/>
      <c r="N416" s="434"/>
      <c r="O416" s="434"/>
      <c r="P416" s="434"/>
      <c r="Q416" s="434"/>
      <c r="R416" s="434"/>
      <c r="S416" s="434"/>
      <c r="T416" s="434"/>
      <c r="U416" s="434"/>
      <c r="V416" s="434"/>
      <c r="W416" s="434"/>
    </row>
    <row r="417">
      <c r="A417" s="434"/>
      <c r="B417" s="434"/>
      <c r="C417" s="434"/>
      <c r="D417" s="434"/>
      <c r="E417" s="434"/>
      <c r="F417" s="434"/>
      <c r="G417" s="434"/>
      <c r="H417" s="434"/>
      <c r="I417" s="434"/>
      <c r="J417" s="434"/>
      <c r="K417" s="434"/>
      <c r="L417" s="434"/>
      <c r="M417" s="434"/>
      <c r="N417" s="434"/>
      <c r="O417" s="434"/>
      <c r="P417" s="434"/>
      <c r="Q417" s="434"/>
      <c r="R417" s="434"/>
      <c r="S417" s="434"/>
      <c r="T417" s="434"/>
      <c r="U417" s="434"/>
      <c r="V417" s="434"/>
      <c r="W417" s="434"/>
    </row>
    <row r="418">
      <c r="A418" s="434"/>
      <c r="B418" s="434"/>
      <c r="C418" s="434"/>
      <c r="D418" s="434"/>
      <c r="E418" s="434"/>
      <c r="F418" s="434"/>
      <c r="G418" s="434"/>
      <c r="H418" s="434"/>
      <c r="I418" s="434"/>
      <c r="J418" s="434"/>
      <c r="K418" s="434"/>
      <c r="L418" s="434"/>
      <c r="M418" s="434"/>
      <c r="N418" s="434"/>
      <c r="O418" s="434"/>
      <c r="P418" s="434"/>
      <c r="Q418" s="434"/>
      <c r="R418" s="434"/>
      <c r="S418" s="434"/>
      <c r="T418" s="434"/>
      <c r="U418" s="434"/>
      <c r="V418" s="434"/>
      <c r="W418" s="434"/>
    </row>
    <row r="419">
      <c r="A419" s="434"/>
      <c r="B419" s="434"/>
      <c r="C419" s="434"/>
      <c r="D419" s="434"/>
      <c r="E419" s="434"/>
      <c r="F419" s="434"/>
      <c r="G419" s="434"/>
      <c r="H419" s="434"/>
      <c r="I419" s="434"/>
      <c r="J419" s="434"/>
      <c r="K419" s="434"/>
      <c r="L419" s="434"/>
      <c r="M419" s="434"/>
      <c r="N419" s="434"/>
      <c r="O419" s="434"/>
      <c r="P419" s="434"/>
      <c r="Q419" s="434"/>
      <c r="R419" s="434"/>
      <c r="S419" s="434"/>
      <c r="T419" s="434"/>
      <c r="U419" s="434"/>
      <c r="V419" s="434"/>
      <c r="W419" s="434"/>
    </row>
    <row r="420">
      <c r="A420" s="434"/>
      <c r="B420" s="434"/>
      <c r="C420" s="434"/>
      <c r="D420" s="434"/>
      <c r="E420" s="434"/>
      <c r="F420" s="434"/>
      <c r="G420" s="434"/>
      <c r="H420" s="434"/>
      <c r="I420" s="434"/>
      <c r="J420" s="434"/>
      <c r="K420" s="434"/>
      <c r="L420" s="434"/>
      <c r="M420" s="434"/>
      <c r="N420" s="434"/>
      <c r="O420" s="434"/>
      <c r="P420" s="434"/>
      <c r="Q420" s="434"/>
      <c r="R420" s="434"/>
      <c r="S420" s="434"/>
      <c r="T420" s="434"/>
      <c r="U420" s="434"/>
      <c r="V420" s="434"/>
      <c r="W420" s="434"/>
    </row>
    <row r="421">
      <c r="A421" s="434"/>
      <c r="B421" s="434"/>
      <c r="C421" s="434"/>
      <c r="D421" s="434"/>
      <c r="E421" s="434"/>
      <c r="F421" s="434"/>
      <c r="G421" s="434"/>
      <c r="H421" s="434"/>
      <c r="I421" s="434"/>
      <c r="J421" s="434"/>
      <c r="K421" s="434"/>
      <c r="L421" s="434"/>
      <c r="M421" s="434"/>
      <c r="N421" s="434"/>
      <c r="O421" s="434"/>
      <c r="P421" s="434"/>
      <c r="Q421" s="434"/>
      <c r="R421" s="434"/>
      <c r="S421" s="434"/>
      <c r="T421" s="434"/>
      <c r="U421" s="434"/>
      <c r="V421" s="434"/>
      <c r="W421" s="434"/>
    </row>
    <row r="422">
      <c r="A422" s="434"/>
      <c r="B422" s="434"/>
      <c r="C422" s="434"/>
      <c r="D422" s="434"/>
      <c r="E422" s="434"/>
      <c r="F422" s="434"/>
      <c r="G422" s="434"/>
      <c r="H422" s="434"/>
      <c r="I422" s="434"/>
      <c r="J422" s="434"/>
      <c r="K422" s="434"/>
      <c r="L422" s="434"/>
      <c r="M422" s="434"/>
      <c r="N422" s="434"/>
      <c r="O422" s="434"/>
      <c r="P422" s="434"/>
      <c r="Q422" s="434"/>
      <c r="R422" s="434"/>
      <c r="S422" s="434"/>
      <c r="T422" s="434"/>
      <c r="U422" s="434"/>
      <c r="V422" s="434"/>
      <c r="W422" s="434"/>
    </row>
    <row r="423">
      <c r="A423" s="434"/>
      <c r="B423" s="434"/>
      <c r="C423" s="434"/>
      <c r="D423" s="434"/>
      <c r="E423" s="434"/>
      <c r="F423" s="434"/>
      <c r="G423" s="434"/>
      <c r="H423" s="434"/>
      <c r="I423" s="434"/>
      <c r="J423" s="434"/>
      <c r="K423" s="434"/>
      <c r="L423" s="434"/>
      <c r="M423" s="434"/>
      <c r="N423" s="434"/>
      <c r="O423" s="434"/>
      <c r="P423" s="434"/>
      <c r="Q423" s="434"/>
      <c r="R423" s="434"/>
      <c r="S423" s="434"/>
      <c r="T423" s="434"/>
      <c r="U423" s="434"/>
      <c r="V423" s="434"/>
      <c r="W423" s="434"/>
    </row>
    <row r="424">
      <c r="A424" s="434"/>
      <c r="B424" s="434"/>
      <c r="C424" s="434"/>
      <c r="D424" s="434"/>
      <c r="E424" s="434"/>
      <c r="F424" s="434"/>
      <c r="G424" s="434"/>
      <c r="H424" s="434"/>
      <c r="I424" s="434"/>
      <c r="J424" s="434"/>
      <c r="K424" s="434"/>
      <c r="L424" s="434"/>
      <c r="M424" s="434"/>
      <c r="N424" s="434"/>
      <c r="O424" s="434"/>
      <c r="P424" s="434"/>
      <c r="Q424" s="434"/>
      <c r="R424" s="434"/>
      <c r="S424" s="434"/>
      <c r="T424" s="434"/>
      <c r="U424" s="434"/>
      <c r="V424" s="434"/>
      <c r="W424" s="434"/>
    </row>
    <row r="425">
      <c r="A425" s="434"/>
      <c r="B425" s="434"/>
      <c r="C425" s="434"/>
      <c r="D425" s="434"/>
      <c r="E425" s="434"/>
      <c r="F425" s="434"/>
      <c r="G425" s="434"/>
      <c r="H425" s="434"/>
      <c r="I425" s="434"/>
      <c r="J425" s="434"/>
      <c r="K425" s="434"/>
      <c r="L425" s="434"/>
      <c r="M425" s="434"/>
      <c r="N425" s="434"/>
      <c r="O425" s="434"/>
      <c r="P425" s="434"/>
      <c r="Q425" s="434"/>
      <c r="R425" s="434"/>
      <c r="S425" s="434"/>
      <c r="T425" s="434"/>
      <c r="U425" s="434"/>
      <c r="V425" s="434"/>
      <c r="W425" s="434"/>
    </row>
    <row r="426">
      <c r="A426" s="434"/>
      <c r="B426" s="434"/>
      <c r="C426" s="434"/>
      <c r="D426" s="434"/>
      <c r="E426" s="434"/>
      <c r="F426" s="434"/>
      <c r="G426" s="434"/>
      <c r="H426" s="434"/>
      <c r="I426" s="434"/>
      <c r="J426" s="434"/>
      <c r="K426" s="434"/>
      <c r="L426" s="434"/>
      <c r="M426" s="434"/>
      <c r="N426" s="434"/>
      <c r="O426" s="434"/>
      <c r="P426" s="434"/>
      <c r="Q426" s="434"/>
      <c r="R426" s="434"/>
      <c r="S426" s="434"/>
      <c r="T426" s="434"/>
      <c r="U426" s="434"/>
      <c r="V426" s="434"/>
      <c r="W426" s="434"/>
    </row>
    <row r="427">
      <c r="A427" s="434"/>
      <c r="B427" s="434"/>
      <c r="C427" s="434"/>
      <c r="D427" s="434"/>
      <c r="E427" s="434"/>
      <c r="F427" s="434"/>
      <c r="G427" s="434"/>
      <c r="H427" s="434"/>
      <c r="I427" s="434"/>
      <c r="J427" s="434"/>
      <c r="K427" s="434"/>
      <c r="L427" s="434"/>
      <c r="M427" s="434"/>
      <c r="N427" s="434"/>
      <c r="O427" s="434"/>
      <c r="P427" s="434"/>
      <c r="Q427" s="434"/>
      <c r="R427" s="434"/>
      <c r="S427" s="434"/>
      <c r="T427" s="434"/>
      <c r="U427" s="434"/>
      <c r="V427" s="434"/>
      <c r="W427" s="434"/>
    </row>
    <row r="428">
      <c r="A428" s="434"/>
      <c r="B428" s="434"/>
      <c r="C428" s="434"/>
      <c r="D428" s="434"/>
      <c r="E428" s="434"/>
      <c r="F428" s="434"/>
      <c r="G428" s="434"/>
      <c r="H428" s="434"/>
      <c r="I428" s="434"/>
      <c r="J428" s="434"/>
      <c r="K428" s="434"/>
      <c r="L428" s="434"/>
      <c r="M428" s="434"/>
      <c r="N428" s="434"/>
      <c r="O428" s="434"/>
      <c r="P428" s="434"/>
      <c r="Q428" s="434"/>
      <c r="R428" s="434"/>
      <c r="S428" s="434"/>
      <c r="T428" s="434"/>
      <c r="U428" s="434"/>
      <c r="V428" s="434"/>
      <c r="W428" s="434"/>
    </row>
    <row r="429">
      <c r="A429" s="434"/>
      <c r="B429" s="434"/>
      <c r="C429" s="434"/>
      <c r="D429" s="434"/>
      <c r="E429" s="434"/>
      <c r="F429" s="434"/>
      <c r="G429" s="434"/>
      <c r="H429" s="434"/>
      <c r="I429" s="434"/>
      <c r="J429" s="434"/>
      <c r="K429" s="434"/>
      <c r="L429" s="434"/>
      <c r="M429" s="434"/>
      <c r="N429" s="434"/>
      <c r="O429" s="434"/>
      <c r="P429" s="434"/>
      <c r="Q429" s="434"/>
      <c r="R429" s="434"/>
      <c r="S429" s="434"/>
      <c r="T429" s="434"/>
      <c r="U429" s="434"/>
      <c r="V429" s="434"/>
      <c r="W429" s="434"/>
    </row>
    <row r="430">
      <c r="A430" s="434"/>
      <c r="B430" s="434"/>
      <c r="C430" s="434"/>
      <c r="D430" s="434"/>
      <c r="E430" s="434"/>
      <c r="F430" s="434"/>
      <c r="G430" s="434"/>
      <c r="H430" s="434"/>
      <c r="I430" s="434"/>
      <c r="J430" s="434"/>
      <c r="K430" s="434"/>
      <c r="L430" s="434"/>
      <c r="M430" s="434"/>
      <c r="N430" s="434"/>
      <c r="O430" s="434"/>
      <c r="P430" s="434"/>
      <c r="Q430" s="434"/>
      <c r="R430" s="434"/>
      <c r="S430" s="434"/>
      <c r="T430" s="434"/>
      <c r="U430" s="434"/>
      <c r="V430" s="434"/>
      <c r="W430" s="434"/>
    </row>
    <row r="431">
      <c r="A431" s="434"/>
      <c r="B431" s="434"/>
      <c r="C431" s="434"/>
      <c r="D431" s="434"/>
      <c r="E431" s="434"/>
      <c r="F431" s="434"/>
      <c r="G431" s="434"/>
      <c r="H431" s="434"/>
      <c r="I431" s="434"/>
      <c r="J431" s="434"/>
      <c r="K431" s="434"/>
      <c r="L431" s="434"/>
      <c r="M431" s="434"/>
      <c r="N431" s="434"/>
      <c r="O431" s="434"/>
      <c r="P431" s="434"/>
      <c r="Q431" s="434"/>
      <c r="R431" s="434"/>
      <c r="S431" s="434"/>
      <c r="T431" s="434"/>
      <c r="U431" s="434"/>
      <c r="V431" s="434"/>
      <c r="W431" s="434"/>
    </row>
    <row r="432">
      <c r="A432" s="434"/>
      <c r="B432" s="434"/>
      <c r="C432" s="434"/>
      <c r="D432" s="434"/>
      <c r="E432" s="434"/>
      <c r="F432" s="434"/>
      <c r="G432" s="434"/>
      <c r="H432" s="434"/>
      <c r="I432" s="434"/>
      <c r="J432" s="434"/>
      <c r="K432" s="434"/>
      <c r="L432" s="434"/>
      <c r="M432" s="434"/>
      <c r="N432" s="434"/>
      <c r="O432" s="434"/>
      <c r="P432" s="434"/>
      <c r="Q432" s="434"/>
      <c r="R432" s="434"/>
      <c r="S432" s="434"/>
      <c r="T432" s="434"/>
      <c r="U432" s="434"/>
      <c r="V432" s="434"/>
      <c r="W432" s="434"/>
    </row>
    <row r="433">
      <c r="A433" s="434"/>
      <c r="B433" s="434"/>
      <c r="C433" s="434"/>
      <c r="D433" s="434"/>
      <c r="E433" s="434"/>
      <c r="F433" s="434"/>
      <c r="G433" s="434"/>
      <c r="H433" s="434"/>
      <c r="I433" s="434"/>
      <c r="J433" s="434"/>
      <c r="K433" s="434"/>
      <c r="L433" s="434"/>
      <c r="M433" s="434"/>
      <c r="N433" s="434"/>
      <c r="O433" s="434"/>
      <c r="P433" s="434"/>
      <c r="Q433" s="434"/>
      <c r="R433" s="434"/>
      <c r="S433" s="434"/>
      <c r="T433" s="434"/>
      <c r="U433" s="434"/>
      <c r="V433" s="434"/>
      <c r="W433" s="434"/>
    </row>
    <row r="434">
      <c r="A434" s="434"/>
      <c r="B434" s="434"/>
      <c r="C434" s="434"/>
      <c r="D434" s="434"/>
      <c r="E434" s="434"/>
      <c r="F434" s="434"/>
      <c r="G434" s="434"/>
      <c r="H434" s="434"/>
      <c r="I434" s="434"/>
      <c r="J434" s="434"/>
      <c r="K434" s="434"/>
      <c r="L434" s="434"/>
      <c r="M434" s="434"/>
      <c r="N434" s="434"/>
      <c r="O434" s="434"/>
      <c r="P434" s="434"/>
      <c r="Q434" s="434"/>
      <c r="R434" s="434"/>
      <c r="S434" s="434"/>
      <c r="T434" s="434"/>
      <c r="U434" s="434"/>
      <c r="V434" s="434"/>
      <c r="W434" s="434"/>
    </row>
    <row r="435">
      <c r="A435" s="434"/>
      <c r="B435" s="434"/>
      <c r="C435" s="434"/>
      <c r="D435" s="434"/>
      <c r="E435" s="434"/>
      <c r="F435" s="434"/>
      <c r="G435" s="434"/>
      <c r="H435" s="434"/>
      <c r="I435" s="434"/>
      <c r="J435" s="434"/>
      <c r="K435" s="434"/>
      <c r="L435" s="434"/>
      <c r="M435" s="434"/>
      <c r="N435" s="434"/>
      <c r="O435" s="434"/>
      <c r="P435" s="434"/>
      <c r="Q435" s="434"/>
      <c r="R435" s="434"/>
      <c r="S435" s="434"/>
      <c r="T435" s="434"/>
      <c r="U435" s="434"/>
      <c r="V435" s="434"/>
      <c r="W435" s="434"/>
    </row>
    <row r="436">
      <c r="A436" s="434"/>
      <c r="B436" s="434"/>
      <c r="C436" s="434"/>
      <c r="D436" s="434"/>
      <c r="E436" s="434"/>
      <c r="F436" s="434"/>
      <c r="G436" s="434"/>
      <c r="H436" s="434"/>
      <c r="I436" s="434"/>
      <c r="J436" s="434"/>
      <c r="K436" s="434"/>
      <c r="L436" s="434"/>
      <c r="M436" s="434"/>
      <c r="N436" s="434"/>
      <c r="O436" s="434"/>
      <c r="P436" s="434"/>
      <c r="Q436" s="434"/>
      <c r="R436" s="434"/>
      <c r="S436" s="434"/>
      <c r="T436" s="434"/>
      <c r="U436" s="434"/>
      <c r="V436" s="434"/>
      <c r="W436" s="434"/>
    </row>
    <row r="437">
      <c r="A437" s="434"/>
      <c r="B437" s="434"/>
      <c r="C437" s="434"/>
      <c r="D437" s="434"/>
      <c r="E437" s="434"/>
      <c r="F437" s="434"/>
      <c r="G437" s="434"/>
      <c r="H437" s="434"/>
      <c r="I437" s="434"/>
      <c r="J437" s="434"/>
      <c r="K437" s="434"/>
      <c r="L437" s="434"/>
      <c r="M437" s="434"/>
      <c r="N437" s="434"/>
      <c r="O437" s="434"/>
      <c r="P437" s="434"/>
      <c r="Q437" s="434"/>
      <c r="R437" s="434"/>
      <c r="S437" s="434"/>
      <c r="T437" s="434"/>
      <c r="U437" s="434"/>
      <c r="V437" s="434"/>
      <c r="W437" s="434"/>
    </row>
    <row r="438">
      <c r="A438" s="434"/>
      <c r="B438" s="434"/>
      <c r="C438" s="434"/>
      <c r="D438" s="434"/>
      <c r="E438" s="434"/>
      <c r="F438" s="434"/>
      <c r="G438" s="434"/>
      <c r="H438" s="434"/>
      <c r="I438" s="434"/>
      <c r="J438" s="434"/>
      <c r="K438" s="434"/>
      <c r="L438" s="434"/>
      <c r="M438" s="434"/>
      <c r="N438" s="434"/>
      <c r="O438" s="434"/>
      <c r="P438" s="434"/>
      <c r="Q438" s="434"/>
      <c r="R438" s="434"/>
      <c r="S438" s="434"/>
      <c r="T438" s="434"/>
      <c r="U438" s="434"/>
      <c r="V438" s="434"/>
      <c r="W438" s="434"/>
    </row>
    <row r="439">
      <c r="A439" s="434"/>
      <c r="B439" s="434"/>
      <c r="C439" s="434"/>
      <c r="D439" s="434"/>
      <c r="E439" s="434"/>
      <c r="F439" s="434"/>
      <c r="G439" s="434"/>
      <c r="H439" s="434"/>
      <c r="I439" s="434"/>
      <c r="J439" s="434"/>
      <c r="K439" s="434"/>
      <c r="L439" s="434"/>
      <c r="M439" s="434"/>
      <c r="N439" s="434"/>
      <c r="O439" s="434"/>
      <c r="P439" s="434"/>
      <c r="Q439" s="434"/>
      <c r="R439" s="434"/>
      <c r="S439" s="434"/>
      <c r="T439" s="434"/>
      <c r="U439" s="434"/>
      <c r="V439" s="434"/>
      <c r="W439" s="434"/>
    </row>
    <row r="440">
      <c r="A440" s="434"/>
      <c r="B440" s="434"/>
      <c r="C440" s="434"/>
      <c r="D440" s="434"/>
      <c r="E440" s="434"/>
      <c r="F440" s="434"/>
      <c r="G440" s="434"/>
      <c r="H440" s="434"/>
      <c r="I440" s="434"/>
      <c r="J440" s="434"/>
      <c r="K440" s="434"/>
      <c r="L440" s="434"/>
      <c r="M440" s="434"/>
      <c r="N440" s="434"/>
      <c r="O440" s="434"/>
      <c r="P440" s="434"/>
      <c r="Q440" s="434"/>
      <c r="R440" s="434"/>
      <c r="S440" s="434"/>
      <c r="T440" s="434"/>
      <c r="U440" s="434"/>
      <c r="V440" s="434"/>
      <c r="W440" s="434"/>
    </row>
    <row r="441">
      <c r="A441" s="434"/>
      <c r="B441" s="434"/>
      <c r="C441" s="434"/>
      <c r="D441" s="434"/>
      <c r="E441" s="434"/>
      <c r="F441" s="434"/>
      <c r="G441" s="434"/>
      <c r="H441" s="434"/>
      <c r="I441" s="434"/>
      <c r="J441" s="434"/>
      <c r="K441" s="434"/>
      <c r="L441" s="434"/>
      <c r="M441" s="434"/>
      <c r="N441" s="434"/>
      <c r="O441" s="434"/>
      <c r="P441" s="434"/>
      <c r="Q441" s="434"/>
      <c r="R441" s="434"/>
      <c r="S441" s="434"/>
      <c r="T441" s="434"/>
      <c r="U441" s="434"/>
      <c r="V441" s="434"/>
      <c r="W441" s="434"/>
    </row>
    <row r="442">
      <c r="A442" s="434"/>
      <c r="B442" s="434"/>
      <c r="C442" s="434"/>
      <c r="D442" s="434"/>
      <c r="E442" s="434"/>
      <c r="F442" s="434"/>
      <c r="G442" s="434"/>
      <c r="H442" s="434"/>
      <c r="I442" s="434"/>
      <c r="J442" s="434"/>
      <c r="K442" s="434"/>
      <c r="L442" s="434"/>
      <c r="M442" s="434"/>
      <c r="N442" s="434"/>
      <c r="O442" s="434"/>
      <c r="P442" s="434"/>
      <c r="Q442" s="434"/>
      <c r="R442" s="434"/>
      <c r="S442" s="434"/>
      <c r="T442" s="434"/>
      <c r="U442" s="434"/>
      <c r="V442" s="434"/>
      <c r="W442" s="434"/>
    </row>
    <row r="443">
      <c r="A443" s="434"/>
      <c r="B443" s="434"/>
      <c r="C443" s="434"/>
      <c r="D443" s="434"/>
      <c r="E443" s="434"/>
      <c r="F443" s="434"/>
      <c r="G443" s="434"/>
      <c r="H443" s="434"/>
      <c r="I443" s="434"/>
      <c r="J443" s="434"/>
      <c r="K443" s="434"/>
      <c r="L443" s="434"/>
      <c r="M443" s="434"/>
      <c r="N443" s="434"/>
      <c r="O443" s="434"/>
      <c r="P443" s="434"/>
      <c r="Q443" s="434"/>
      <c r="R443" s="434"/>
      <c r="S443" s="434"/>
      <c r="T443" s="434"/>
      <c r="U443" s="434"/>
      <c r="V443" s="434"/>
      <c r="W443" s="434"/>
    </row>
    <row r="444">
      <c r="A444" s="434"/>
      <c r="B444" s="434"/>
      <c r="C444" s="434"/>
      <c r="D444" s="434"/>
      <c r="E444" s="434"/>
      <c r="F444" s="434"/>
      <c r="G444" s="434"/>
      <c r="H444" s="434"/>
      <c r="I444" s="434"/>
      <c r="J444" s="434"/>
      <c r="K444" s="434"/>
      <c r="L444" s="434"/>
      <c r="M444" s="434"/>
      <c r="N444" s="434"/>
      <c r="O444" s="434"/>
      <c r="P444" s="434"/>
      <c r="Q444" s="434"/>
      <c r="R444" s="434"/>
      <c r="S444" s="434"/>
      <c r="T444" s="434"/>
      <c r="U444" s="434"/>
      <c r="V444" s="434"/>
      <c r="W444" s="434"/>
    </row>
    <row r="445">
      <c r="A445" s="434"/>
      <c r="B445" s="434"/>
      <c r="C445" s="434"/>
      <c r="D445" s="434"/>
      <c r="E445" s="434"/>
      <c r="F445" s="434"/>
      <c r="G445" s="434"/>
      <c r="H445" s="434"/>
      <c r="I445" s="434"/>
      <c r="J445" s="434"/>
      <c r="K445" s="434"/>
      <c r="L445" s="434"/>
      <c r="M445" s="434"/>
      <c r="N445" s="434"/>
      <c r="O445" s="434"/>
      <c r="P445" s="434"/>
      <c r="Q445" s="434"/>
      <c r="R445" s="434"/>
      <c r="S445" s="434"/>
      <c r="T445" s="434"/>
      <c r="U445" s="434"/>
      <c r="V445" s="434"/>
      <c r="W445" s="434"/>
    </row>
    <row r="446">
      <c r="A446" s="434"/>
      <c r="B446" s="434"/>
      <c r="C446" s="434"/>
      <c r="D446" s="434"/>
      <c r="E446" s="434"/>
      <c r="F446" s="434"/>
      <c r="G446" s="434"/>
      <c r="H446" s="434"/>
      <c r="I446" s="434"/>
      <c r="J446" s="434"/>
      <c r="K446" s="434"/>
      <c r="L446" s="434"/>
      <c r="M446" s="434"/>
      <c r="N446" s="434"/>
      <c r="O446" s="434"/>
      <c r="P446" s="434"/>
      <c r="Q446" s="434"/>
      <c r="R446" s="434"/>
      <c r="S446" s="434"/>
      <c r="T446" s="434"/>
      <c r="U446" s="434"/>
      <c r="V446" s="434"/>
      <c r="W446" s="434"/>
    </row>
    <row r="447">
      <c r="A447" s="434"/>
      <c r="B447" s="434"/>
      <c r="C447" s="434"/>
      <c r="D447" s="434"/>
      <c r="E447" s="434"/>
      <c r="F447" s="434"/>
      <c r="G447" s="434"/>
      <c r="H447" s="434"/>
      <c r="I447" s="434"/>
      <c r="J447" s="434"/>
      <c r="K447" s="434"/>
      <c r="L447" s="434"/>
      <c r="M447" s="434"/>
      <c r="N447" s="434"/>
      <c r="O447" s="434"/>
      <c r="P447" s="434"/>
      <c r="Q447" s="434"/>
      <c r="R447" s="434"/>
      <c r="S447" s="434"/>
      <c r="T447" s="434"/>
      <c r="U447" s="434"/>
      <c r="V447" s="434"/>
      <c r="W447" s="434"/>
    </row>
    <row r="448">
      <c r="A448" s="434"/>
      <c r="B448" s="434"/>
      <c r="C448" s="434"/>
      <c r="D448" s="434"/>
      <c r="E448" s="434"/>
      <c r="F448" s="434"/>
      <c r="G448" s="434"/>
      <c r="H448" s="434"/>
      <c r="I448" s="434"/>
      <c r="J448" s="434"/>
      <c r="K448" s="434"/>
      <c r="L448" s="434"/>
      <c r="M448" s="434"/>
      <c r="N448" s="434"/>
      <c r="O448" s="434"/>
      <c r="P448" s="434"/>
      <c r="Q448" s="434"/>
      <c r="R448" s="434"/>
      <c r="S448" s="434"/>
      <c r="T448" s="434"/>
      <c r="U448" s="434"/>
      <c r="V448" s="434"/>
      <c r="W448" s="434"/>
    </row>
    <row r="449">
      <c r="A449" s="434"/>
      <c r="B449" s="434"/>
      <c r="C449" s="434"/>
      <c r="D449" s="434"/>
      <c r="E449" s="434"/>
      <c r="F449" s="434"/>
      <c r="G449" s="434"/>
      <c r="H449" s="434"/>
      <c r="I449" s="434"/>
      <c r="J449" s="434"/>
      <c r="K449" s="434"/>
      <c r="L449" s="434"/>
      <c r="M449" s="434"/>
      <c r="N449" s="434"/>
      <c r="O449" s="434"/>
      <c r="P449" s="434"/>
      <c r="Q449" s="434"/>
      <c r="R449" s="434"/>
      <c r="S449" s="434"/>
      <c r="T449" s="434"/>
      <c r="U449" s="434"/>
      <c r="V449" s="434"/>
      <c r="W449" s="434"/>
    </row>
    <row r="450">
      <c r="A450" s="434"/>
      <c r="B450" s="434"/>
      <c r="C450" s="434"/>
      <c r="D450" s="434"/>
      <c r="E450" s="434"/>
      <c r="F450" s="434"/>
      <c r="G450" s="434"/>
      <c r="H450" s="434"/>
      <c r="I450" s="434"/>
      <c r="J450" s="434"/>
      <c r="K450" s="434"/>
      <c r="L450" s="434"/>
      <c r="M450" s="434"/>
      <c r="N450" s="434"/>
      <c r="O450" s="434"/>
      <c r="P450" s="434"/>
      <c r="Q450" s="434"/>
      <c r="R450" s="434"/>
      <c r="S450" s="434"/>
      <c r="T450" s="434"/>
      <c r="U450" s="434"/>
      <c r="V450" s="434"/>
      <c r="W450" s="434"/>
    </row>
    <row r="451">
      <c r="A451" s="434"/>
      <c r="B451" s="434"/>
      <c r="C451" s="434"/>
      <c r="D451" s="434"/>
      <c r="E451" s="434"/>
      <c r="F451" s="434"/>
      <c r="G451" s="434"/>
      <c r="H451" s="434"/>
      <c r="I451" s="434"/>
      <c r="J451" s="434"/>
      <c r="K451" s="434"/>
      <c r="L451" s="434"/>
      <c r="M451" s="434"/>
      <c r="N451" s="434"/>
      <c r="O451" s="434"/>
      <c r="P451" s="434"/>
      <c r="Q451" s="434"/>
      <c r="R451" s="434"/>
      <c r="S451" s="434"/>
      <c r="T451" s="434"/>
      <c r="U451" s="434"/>
      <c r="V451" s="434"/>
      <c r="W451" s="434"/>
    </row>
    <row r="452">
      <c r="A452" s="434"/>
      <c r="B452" s="434"/>
      <c r="C452" s="434"/>
      <c r="D452" s="434"/>
      <c r="E452" s="434"/>
      <c r="F452" s="434"/>
      <c r="G452" s="434"/>
      <c r="H452" s="434"/>
      <c r="I452" s="434"/>
      <c r="J452" s="434"/>
      <c r="K452" s="434"/>
      <c r="L452" s="434"/>
      <c r="M452" s="434"/>
      <c r="N452" s="434"/>
      <c r="O452" s="434"/>
      <c r="P452" s="434"/>
      <c r="Q452" s="434"/>
      <c r="R452" s="434"/>
      <c r="S452" s="434"/>
      <c r="T452" s="434"/>
      <c r="U452" s="434"/>
      <c r="V452" s="434"/>
      <c r="W452" s="434"/>
    </row>
    <row r="453">
      <c r="A453" s="434"/>
      <c r="B453" s="434"/>
      <c r="C453" s="434"/>
      <c r="D453" s="434"/>
      <c r="E453" s="434"/>
      <c r="F453" s="434"/>
      <c r="G453" s="434"/>
      <c r="H453" s="434"/>
      <c r="I453" s="434"/>
      <c r="J453" s="434"/>
      <c r="K453" s="434"/>
      <c r="L453" s="434"/>
      <c r="M453" s="434"/>
      <c r="N453" s="434"/>
      <c r="O453" s="434"/>
      <c r="P453" s="434"/>
      <c r="Q453" s="434"/>
      <c r="R453" s="434"/>
      <c r="S453" s="434"/>
      <c r="T453" s="434"/>
      <c r="U453" s="434"/>
      <c r="V453" s="434"/>
      <c r="W453" s="434"/>
    </row>
    <row r="454">
      <c r="A454" s="434"/>
      <c r="B454" s="434"/>
      <c r="C454" s="434"/>
      <c r="D454" s="434"/>
      <c r="E454" s="434"/>
      <c r="F454" s="434"/>
      <c r="G454" s="434"/>
      <c r="H454" s="434"/>
      <c r="I454" s="434"/>
      <c r="J454" s="434"/>
      <c r="K454" s="434"/>
      <c r="L454" s="434"/>
      <c r="M454" s="434"/>
      <c r="N454" s="434"/>
      <c r="O454" s="434"/>
      <c r="P454" s="434"/>
      <c r="Q454" s="434"/>
      <c r="R454" s="434"/>
      <c r="S454" s="434"/>
      <c r="T454" s="434"/>
      <c r="U454" s="434"/>
      <c r="V454" s="434"/>
      <c r="W454" s="434"/>
    </row>
    <row r="455">
      <c r="A455" s="434"/>
      <c r="B455" s="434"/>
      <c r="C455" s="434"/>
      <c r="D455" s="434"/>
      <c r="E455" s="434"/>
      <c r="F455" s="434"/>
      <c r="G455" s="434"/>
      <c r="H455" s="434"/>
      <c r="I455" s="434"/>
      <c r="J455" s="434"/>
      <c r="K455" s="434"/>
      <c r="L455" s="434"/>
      <c r="M455" s="434"/>
      <c r="N455" s="434"/>
      <c r="O455" s="434"/>
      <c r="P455" s="434"/>
      <c r="Q455" s="434"/>
      <c r="R455" s="434"/>
      <c r="S455" s="434"/>
      <c r="T455" s="434"/>
      <c r="U455" s="434"/>
      <c r="V455" s="434"/>
      <c r="W455" s="434"/>
    </row>
    <row r="456">
      <c r="A456" s="434"/>
      <c r="B456" s="434"/>
      <c r="C456" s="434"/>
      <c r="D456" s="434"/>
      <c r="E456" s="434"/>
      <c r="F456" s="434"/>
      <c r="G456" s="434"/>
      <c r="H456" s="434"/>
      <c r="I456" s="434"/>
      <c r="J456" s="434"/>
      <c r="K456" s="434"/>
      <c r="L456" s="434"/>
      <c r="M456" s="434"/>
      <c r="N456" s="434"/>
      <c r="O456" s="434"/>
      <c r="P456" s="434"/>
      <c r="Q456" s="434"/>
      <c r="R456" s="434"/>
      <c r="S456" s="434"/>
      <c r="T456" s="434"/>
      <c r="U456" s="434"/>
      <c r="V456" s="434"/>
      <c r="W456" s="434"/>
    </row>
    <row r="457">
      <c r="A457" s="434"/>
      <c r="B457" s="434"/>
      <c r="C457" s="434"/>
      <c r="D457" s="434"/>
      <c r="E457" s="434"/>
      <c r="F457" s="434"/>
      <c r="G457" s="434"/>
      <c r="H457" s="434"/>
      <c r="I457" s="434"/>
      <c r="J457" s="434"/>
      <c r="K457" s="434"/>
      <c r="L457" s="434"/>
      <c r="M457" s="434"/>
      <c r="N457" s="434"/>
      <c r="O457" s="434"/>
      <c r="P457" s="434"/>
      <c r="Q457" s="434"/>
      <c r="R457" s="434"/>
      <c r="S457" s="434"/>
      <c r="T457" s="434"/>
      <c r="U457" s="434"/>
      <c r="V457" s="434"/>
      <c r="W457" s="434"/>
    </row>
    <row r="458">
      <c r="A458" s="434"/>
      <c r="B458" s="434"/>
      <c r="C458" s="434"/>
      <c r="D458" s="434"/>
      <c r="E458" s="434"/>
      <c r="F458" s="434"/>
      <c r="G458" s="434"/>
      <c r="H458" s="434"/>
      <c r="I458" s="434"/>
      <c r="J458" s="434"/>
      <c r="K458" s="434"/>
      <c r="L458" s="434"/>
      <c r="M458" s="434"/>
      <c r="N458" s="434"/>
      <c r="O458" s="434"/>
      <c r="P458" s="434"/>
      <c r="Q458" s="434"/>
      <c r="R458" s="434"/>
      <c r="S458" s="434"/>
      <c r="T458" s="434"/>
      <c r="U458" s="434"/>
      <c r="V458" s="434"/>
      <c r="W458" s="434"/>
    </row>
    <row r="459">
      <c r="A459" s="434"/>
      <c r="B459" s="434"/>
      <c r="C459" s="434"/>
      <c r="D459" s="434"/>
      <c r="E459" s="434"/>
      <c r="F459" s="434"/>
      <c r="G459" s="434"/>
      <c r="H459" s="434"/>
      <c r="I459" s="434"/>
      <c r="J459" s="434"/>
      <c r="K459" s="434"/>
      <c r="L459" s="434"/>
      <c r="M459" s="434"/>
      <c r="N459" s="434"/>
      <c r="O459" s="434"/>
      <c r="P459" s="434"/>
      <c r="Q459" s="434"/>
      <c r="R459" s="434"/>
      <c r="S459" s="434"/>
      <c r="T459" s="434"/>
      <c r="U459" s="434"/>
      <c r="V459" s="434"/>
      <c r="W459" s="434"/>
    </row>
    <row r="460">
      <c r="A460" s="434"/>
      <c r="B460" s="434"/>
      <c r="C460" s="434"/>
      <c r="D460" s="434"/>
      <c r="E460" s="434"/>
      <c r="F460" s="434"/>
      <c r="G460" s="434"/>
      <c r="H460" s="434"/>
      <c r="I460" s="434"/>
      <c r="J460" s="434"/>
      <c r="K460" s="434"/>
      <c r="L460" s="434"/>
      <c r="M460" s="434"/>
      <c r="N460" s="434"/>
      <c r="O460" s="434"/>
      <c r="P460" s="434"/>
      <c r="Q460" s="434"/>
      <c r="R460" s="434"/>
      <c r="S460" s="434"/>
      <c r="T460" s="434"/>
      <c r="U460" s="434"/>
      <c r="V460" s="434"/>
      <c r="W460" s="434"/>
    </row>
    <row r="461">
      <c r="A461" s="434"/>
      <c r="B461" s="434"/>
      <c r="C461" s="434"/>
      <c r="D461" s="434"/>
      <c r="E461" s="434"/>
      <c r="F461" s="434"/>
      <c r="G461" s="434"/>
      <c r="H461" s="434"/>
      <c r="I461" s="434"/>
      <c r="J461" s="434"/>
      <c r="K461" s="434"/>
      <c r="L461" s="434"/>
      <c r="M461" s="434"/>
      <c r="N461" s="434"/>
      <c r="O461" s="434"/>
      <c r="P461" s="434"/>
      <c r="Q461" s="434"/>
      <c r="R461" s="434"/>
      <c r="S461" s="434"/>
      <c r="T461" s="434"/>
      <c r="U461" s="434"/>
      <c r="V461" s="434"/>
      <c r="W461" s="434"/>
    </row>
    <row r="462">
      <c r="A462" s="434"/>
      <c r="B462" s="434"/>
      <c r="C462" s="434"/>
      <c r="D462" s="434"/>
      <c r="E462" s="434"/>
      <c r="F462" s="434"/>
      <c r="G462" s="434"/>
      <c r="H462" s="434"/>
      <c r="I462" s="434"/>
      <c r="J462" s="434"/>
      <c r="K462" s="434"/>
      <c r="L462" s="434"/>
      <c r="M462" s="434"/>
      <c r="N462" s="434"/>
      <c r="O462" s="434"/>
      <c r="P462" s="434"/>
      <c r="Q462" s="434"/>
      <c r="R462" s="434"/>
      <c r="S462" s="434"/>
      <c r="T462" s="434"/>
      <c r="U462" s="434"/>
      <c r="V462" s="434"/>
      <c r="W462" s="434"/>
    </row>
    <row r="463">
      <c r="A463" s="434"/>
      <c r="B463" s="434"/>
      <c r="C463" s="434"/>
      <c r="D463" s="434"/>
      <c r="E463" s="434"/>
      <c r="F463" s="434"/>
      <c r="G463" s="434"/>
      <c r="H463" s="434"/>
      <c r="I463" s="434"/>
      <c r="J463" s="434"/>
      <c r="K463" s="434"/>
      <c r="L463" s="434"/>
      <c r="M463" s="434"/>
      <c r="N463" s="434"/>
      <c r="O463" s="434"/>
      <c r="P463" s="434"/>
      <c r="Q463" s="434"/>
      <c r="R463" s="434"/>
      <c r="S463" s="434"/>
      <c r="T463" s="434"/>
      <c r="U463" s="434"/>
      <c r="V463" s="434"/>
      <c r="W463" s="434"/>
    </row>
    <row r="464">
      <c r="A464" s="434"/>
      <c r="B464" s="434"/>
      <c r="C464" s="434"/>
      <c r="D464" s="434"/>
      <c r="E464" s="434"/>
      <c r="F464" s="434"/>
      <c r="G464" s="434"/>
      <c r="H464" s="434"/>
      <c r="I464" s="434"/>
      <c r="J464" s="434"/>
      <c r="K464" s="434"/>
      <c r="L464" s="434"/>
      <c r="M464" s="434"/>
      <c r="N464" s="434"/>
      <c r="O464" s="434"/>
      <c r="P464" s="434"/>
      <c r="Q464" s="434"/>
      <c r="R464" s="434"/>
      <c r="S464" s="434"/>
      <c r="T464" s="434"/>
      <c r="U464" s="434"/>
      <c r="V464" s="434"/>
      <c r="W464" s="434"/>
    </row>
    <row r="465">
      <c r="A465" s="434"/>
      <c r="B465" s="434"/>
      <c r="C465" s="434"/>
      <c r="D465" s="434"/>
      <c r="E465" s="434"/>
      <c r="F465" s="434"/>
      <c r="G465" s="434"/>
      <c r="H465" s="434"/>
      <c r="I465" s="434"/>
      <c r="J465" s="434"/>
      <c r="K465" s="434"/>
      <c r="L465" s="434"/>
      <c r="M465" s="434"/>
      <c r="N465" s="434"/>
      <c r="O465" s="434"/>
      <c r="P465" s="434"/>
      <c r="Q465" s="434"/>
      <c r="R465" s="434"/>
      <c r="S465" s="434"/>
      <c r="T465" s="434"/>
      <c r="U465" s="434"/>
      <c r="V465" s="434"/>
      <c r="W465" s="434"/>
    </row>
    <row r="466">
      <c r="A466" s="434"/>
      <c r="B466" s="434"/>
      <c r="C466" s="434"/>
      <c r="D466" s="434"/>
      <c r="E466" s="434"/>
      <c r="F466" s="434"/>
      <c r="G466" s="434"/>
      <c r="H466" s="434"/>
      <c r="I466" s="434"/>
      <c r="J466" s="434"/>
      <c r="K466" s="434"/>
      <c r="L466" s="434"/>
      <c r="M466" s="434"/>
      <c r="N466" s="434"/>
      <c r="O466" s="434"/>
      <c r="P466" s="434"/>
      <c r="Q466" s="434"/>
      <c r="R466" s="434"/>
      <c r="S466" s="434"/>
      <c r="T466" s="434"/>
      <c r="U466" s="434"/>
      <c r="V466" s="434"/>
      <c r="W466" s="434"/>
    </row>
    <row r="467">
      <c r="A467" s="434"/>
      <c r="B467" s="434"/>
      <c r="C467" s="434"/>
      <c r="D467" s="434"/>
      <c r="E467" s="434"/>
      <c r="F467" s="434"/>
      <c r="G467" s="434"/>
      <c r="H467" s="434"/>
      <c r="I467" s="434"/>
      <c r="J467" s="434"/>
      <c r="K467" s="434"/>
      <c r="L467" s="434"/>
      <c r="M467" s="434"/>
      <c r="N467" s="434"/>
      <c r="O467" s="434"/>
      <c r="P467" s="434"/>
      <c r="Q467" s="434"/>
      <c r="R467" s="434"/>
      <c r="S467" s="434"/>
      <c r="T467" s="434"/>
      <c r="U467" s="434"/>
      <c r="V467" s="434"/>
      <c r="W467" s="434"/>
    </row>
    <row r="468">
      <c r="A468" s="434"/>
      <c r="B468" s="434"/>
      <c r="C468" s="434"/>
      <c r="D468" s="434"/>
      <c r="E468" s="434"/>
      <c r="F468" s="434"/>
      <c r="G468" s="434"/>
      <c r="H468" s="434"/>
      <c r="I468" s="434"/>
      <c r="J468" s="434"/>
      <c r="K468" s="434"/>
      <c r="L468" s="434"/>
      <c r="M468" s="434"/>
      <c r="N468" s="434"/>
      <c r="O468" s="434"/>
      <c r="P468" s="434"/>
      <c r="Q468" s="434"/>
      <c r="R468" s="434"/>
      <c r="S468" s="434"/>
      <c r="T468" s="434"/>
      <c r="U468" s="434"/>
      <c r="V468" s="434"/>
      <c r="W468" s="434"/>
    </row>
    <row r="469">
      <c r="A469" s="434"/>
      <c r="B469" s="434"/>
      <c r="C469" s="434"/>
      <c r="D469" s="434"/>
      <c r="E469" s="434"/>
      <c r="F469" s="434"/>
      <c r="G469" s="434"/>
      <c r="H469" s="434"/>
      <c r="I469" s="434"/>
      <c r="J469" s="434"/>
      <c r="K469" s="434"/>
      <c r="L469" s="434"/>
      <c r="M469" s="434"/>
      <c r="N469" s="434"/>
      <c r="O469" s="434"/>
      <c r="P469" s="434"/>
      <c r="Q469" s="434"/>
      <c r="R469" s="434"/>
      <c r="S469" s="434"/>
      <c r="T469" s="434"/>
      <c r="U469" s="434"/>
      <c r="V469" s="434"/>
      <c r="W469" s="434"/>
    </row>
    <row r="470">
      <c r="A470" s="434"/>
      <c r="B470" s="434"/>
      <c r="C470" s="434"/>
      <c r="D470" s="434"/>
      <c r="E470" s="434"/>
      <c r="F470" s="434"/>
      <c r="G470" s="434"/>
      <c r="H470" s="434"/>
      <c r="I470" s="434"/>
      <c r="J470" s="434"/>
      <c r="K470" s="434"/>
      <c r="L470" s="434"/>
      <c r="M470" s="434"/>
      <c r="N470" s="434"/>
      <c r="O470" s="434"/>
      <c r="P470" s="434"/>
      <c r="Q470" s="434"/>
      <c r="R470" s="434"/>
      <c r="S470" s="434"/>
      <c r="T470" s="434"/>
      <c r="U470" s="434"/>
      <c r="V470" s="434"/>
      <c r="W470" s="434"/>
    </row>
    <row r="471">
      <c r="A471" s="434"/>
      <c r="B471" s="434"/>
      <c r="C471" s="434"/>
      <c r="D471" s="434"/>
      <c r="E471" s="434"/>
      <c r="F471" s="434"/>
      <c r="G471" s="434"/>
      <c r="H471" s="434"/>
      <c r="I471" s="434"/>
      <c r="J471" s="434"/>
      <c r="K471" s="434"/>
      <c r="L471" s="434"/>
      <c r="M471" s="434"/>
      <c r="N471" s="434"/>
      <c r="O471" s="434"/>
      <c r="P471" s="434"/>
      <c r="Q471" s="434"/>
      <c r="R471" s="434"/>
      <c r="S471" s="434"/>
      <c r="T471" s="434"/>
      <c r="U471" s="434"/>
      <c r="V471" s="434"/>
      <c r="W471" s="434"/>
    </row>
    <row r="472">
      <c r="A472" s="434"/>
      <c r="B472" s="434"/>
      <c r="C472" s="434"/>
      <c r="D472" s="434"/>
      <c r="E472" s="434"/>
      <c r="F472" s="434"/>
      <c r="G472" s="434"/>
      <c r="H472" s="434"/>
      <c r="I472" s="434"/>
      <c r="J472" s="434"/>
      <c r="K472" s="434"/>
      <c r="L472" s="434"/>
      <c r="M472" s="434"/>
      <c r="N472" s="434"/>
      <c r="O472" s="434"/>
      <c r="P472" s="434"/>
      <c r="Q472" s="434"/>
      <c r="R472" s="434"/>
      <c r="S472" s="434"/>
      <c r="T472" s="434"/>
      <c r="U472" s="434"/>
      <c r="V472" s="434"/>
      <c r="W472" s="434"/>
    </row>
    <row r="473">
      <c r="A473" s="434"/>
      <c r="B473" s="434"/>
      <c r="C473" s="434"/>
      <c r="D473" s="434"/>
      <c r="E473" s="434"/>
      <c r="F473" s="434"/>
      <c r="G473" s="434"/>
      <c r="H473" s="434"/>
      <c r="I473" s="434"/>
      <c r="J473" s="434"/>
      <c r="K473" s="434"/>
      <c r="L473" s="434"/>
      <c r="M473" s="434"/>
      <c r="N473" s="434"/>
      <c r="O473" s="434"/>
      <c r="P473" s="434"/>
      <c r="Q473" s="434"/>
      <c r="R473" s="434"/>
      <c r="S473" s="434"/>
      <c r="T473" s="434"/>
      <c r="U473" s="434"/>
      <c r="V473" s="434"/>
      <c r="W473" s="434"/>
    </row>
    <row r="474">
      <c r="A474" s="434"/>
      <c r="B474" s="434"/>
      <c r="C474" s="434"/>
      <c r="D474" s="434"/>
      <c r="E474" s="434"/>
      <c r="F474" s="434"/>
      <c r="G474" s="434"/>
      <c r="H474" s="434"/>
      <c r="I474" s="434"/>
      <c r="J474" s="434"/>
      <c r="K474" s="434"/>
      <c r="L474" s="434"/>
      <c r="M474" s="434"/>
      <c r="N474" s="434"/>
      <c r="O474" s="434"/>
      <c r="P474" s="434"/>
      <c r="Q474" s="434"/>
      <c r="R474" s="434"/>
      <c r="S474" s="434"/>
      <c r="T474" s="434"/>
      <c r="U474" s="434"/>
      <c r="V474" s="434"/>
      <c r="W474" s="434"/>
    </row>
    <row r="475">
      <c r="A475" s="434"/>
      <c r="B475" s="434"/>
      <c r="C475" s="434"/>
      <c r="D475" s="434"/>
      <c r="E475" s="434"/>
      <c r="F475" s="434"/>
      <c r="G475" s="434"/>
      <c r="H475" s="434"/>
      <c r="I475" s="434"/>
      <c r="J475" s="434"/>
      <c r="K475" s="434"/>
      <c r="L475" s="434"/>
      <c r="M475" s="434"/>
      <c r="N475" s="434"/>
      <c r="O475" s="434"/>
      <c r="P475" s="434"/>
      <c r="Q475" s="434"/>
      <c r="R475" s="434"/>
      <c r="S475" s="434"/>
      <c r="T475" s="434"/>
      <c r="U475" s="434"/>
      <c r="V475" s="434"/>
      <c r="W475" s="434"/>
    </row>
    <row r="476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</row>
    <row r="477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</row>
    <row r="478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</row>
    <row r="479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</row>
    <row r="480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</row>
    <row r="48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</row>
    <row r="482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</row>
    <row r="483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</row>
    <row r="484">
      <c r="A484" s="434"/>
      <c r="B484" s="434"/>
      <c r="C484" s="434"/>
      <c r="D484" s="434"/>
      <c r="E484" s="434"/>
      <c r="F484" s="434"/>
      <c r="G484" s="434"/>
      <c r="H484" s="434"/>
      <c r="I484" s="434"/>
      <c r="J484" s="434"/>
      <c r="K484" s="434"/>
      <c r="L484" s="434"/>
      <c r="M484" s="434"/>
      <c r="N484" s="434"/>
      <c r="O484" s="434"/>
      <c r="P484" s="434"/>
      <c r="Q484" s="434"/>
      <c r="R484" s="434"/>
      <c r="S484" s="434"/>
      <c r="T484" s="434"/>
      <c r="U484" s="434"/>
      <c r="V484" s="434"/>
      <c r="W484" s="434"/>
    </row>
    <row r="485">
      <c r="A485" s="434"/>
      <c r="B485" s="434"/>
      <c r="C485" s="434"/>
      <c r="D485" s="434"/>
      <c r="E485" s="434"/>
      <c r="F485" s="434"/>
      <c r="G485" s="434"/>
      <c r="H485" s="434"/>
      <c r="I485" s="434"/>
      <c r="J485" s="434"/>
      <c r="K485" s="434"/>
      <c r="L485" s="434"/>
      <c r="M485" s="434"/>
      <c r="N485" s="434"/>
      <c r="O485" s="434"/>
      <c r="P485" s="434"/>
      <c r="Q485" s="434"/>
      <c r="R485" s="434"/>
      <c r="S485" s="434"/>
      <c r="T485" s="434"/>
      <c r="U485" s="434"/>
      <c r="V485" s="434"/>
      <c r="W485" s="434"/>
    </row>
    <row r="486">
      <c r="A486" s="434"/>
      <c r="B486" s="434"/>
      <c r="C486" s="434"/>
      <c r="D486" s="434"/>
      <c r="E486" s="434"/>
      <c r="F486" s="434"/>
      <c r="G486" s="434"/>
      <c r="H486" s="434"/>
      <c r="I486" s="434"/>
      <c r="J486" s="434"/>
      <c r="K486" s="434"/>
      <c r="L486" s="434"/>
      <c r="M486" s="434"/>
      <c r="N486" s="434"/>
      <c r="O486" s="434"/>
      <c r="P486" s="434"/>
      <c r="Q486" s="434"/>
      <c r="R486" s="434"/>
      <c r="S486" s="434"/>
      <c r="T486" s="434"/>
      <c r="U486" s="434"/>
      <c r="V486" s="434"/>
      <c r="W486" s="434"/>
    </row>
    <row r="487">
      <c r="A487" s="434"/>
      <c r="B487" s="434"/>
      <c r="C487" s="434"/>
      <c r="D487" s="434"/>
      <c r="E487" s="434"/>
      <c r="F487" s="434"/>
      <c r="G487" s="434"/>
      <c r="H487" s="434"/>
      <c r="I487" s="434"/>
      <c r="J487" s="434"/>
      <c r="K487" s="434"/>
      <c r="L487" s="434"/>
      <c r="M487" s="434"/>
      <c r="N487" s="434"/>
      <c r="O487" s="434"/>
      <c r="P487" s="434"/>
      <c r="Q487" s="434"/>
      <c r="R487" s="434"/>
      <c r="S487" s="434"/>
      <c r="T487" s="434"/>
      <c r="U487" s="434"/>
      <c r="V487" s="434"/>
      <c r="W487" s="434"/>
    </row>
    <row r="488">
      <c r="A488" s="434"/>
      <c r="B488" s="434"/>
      <c r="C488" s="434"/>
      <c r="D488" s="434"/>
      <c r="E488" s="434"/>
      <c r="F488" s="434"/>
      <c r="G488" s="434"/>
      <c r="H488" s="434"/>
      <c r="I488" s="434"/>
      <c r="J488" s="434"/>
      <c r="K488" s="434"/>
      <c r="L488" s="434"/>
      <c r="M488" s="434"/>
      <c r="N488" s="434"/>
      <c r="O488" s="434"/>
      <c r="P488" s="434"/>
      <c r="Q488" s="434"/>
      <c r="R488" s="434"/>
      <c r="S488" s="434"/>
      <c r="T488" s="434"/>
      <c r="U488" s="434"/>
      <c r="V488" s="434"/>
      <c r="W488" s="434"/>
    </row>
    <row r="489">
      <c r="A489" s="434"/>
      <c r="B489" s="434"/>
      <c r="C489" s="434"/>
      <c r="D489" s="434"/>
      <c r="E489" s="434"/>
      <c r="F489" s="434"/>
      <c r="G489" s="434"/>
      <c r="H489" s="434"/>
      <c r="I489" s="434"/>
      <c r="J489" s="434"/>
      <c r="K489" s="434"/>
      <c r="L489" s="434"/>
      <c r="M489" s="434"/>
      <c r="N489" s="434"/>
      <c r="O489" s="434"/>
      <c r="P489" s="434"/>
      <c r="Q489" s="434"/>
      <c r="R489" s="434"/>
      <c r="S489" s="434"/>
      <c r="T489" s="434"/>
      <c r="U489" s="434"/>
      <c r="V489" s="434"/>
      <c r="W489" s="434"/>
    </row>
    <row r="490">
      <c r="A490" s="434"/>
      <c r="B490" s="434"/>
      <c r="C490" s="434"/>
      <c r="D490" s="434"/>
      <c r="E490" s="434"/>
      <c r="F490" s="434"/>
      <c r="G490" s="434"/>
      <c r="H490" s="434"/>
      <c r="I490" s="434"/>
      <c r="J490" s="434"/>
      <c r="K490" s="434"/>
      <c r="L490" s="434"/>
      <c r="M490" s="434"/>
      <c r="N490" s="434"/>
      <c r="O490" s="434"/>
      <c r="P490" s="434"/>
      <c r="Q490" s="434"/>
      <c r="R490" s="434"/>
      <c r="S490" s="434"/>
      <c r="T490" s="434"/>
      <c r="U490" s="434"/>
      <c r="V490" s="434"/>
      <c r="W490" s="434"/>
    </row>
    <row r="491">
      <c r="A491" s="434"/>
      <c r="B491" s="434"/>
      <c r="C491" s="434"/>
      <c r="D491" s="434"/>
      <c r="E491" s="434"/>
      <c r="F491" s="434"/>
      <c r="G491" s="434"/>
      <c r="H491" s="434"/>
      <c r="I491" s="434"/>
      <c r="J491" s="434"/>
      <c r="K491" s="434"/>
      <c r="L491" s="434"/>
      <c r="M491" s="434"/>
      <c r="N491" s="434"/>
      <c r="O491" s="434"/>
      <c r="P491" s="434"/>
      <c r="Q491" s="434"/>
      <c r="R491" s="434"/>
      <c r="S491" s="434"/>
      <c r="T491" s="434"/>
      <c r="U491" s="434"/>
      <c r="V491" s="434"/>
      <c r="W491" s="434"/>
    </row>
    <row r="492">
      <c r="A492" s="434"/>
      <c r="B492" s="434"/>
      <c r="C492" s="434"/>
      <c r="D492" s="434"/>
      <c r="E492" s="434"/>
      <c r="F492" s="434"/>
      <c r="G492" s="434"/>
      <c r="H492" s="434"/>
      <c r="I492" s="434"/>
      <c r="J492" s="434"/>
      <c r="K492" s="434"/>
      <c r="L492" s="434"/>
      <c r="M492" s="434"/>
      <c r="N492" s="434"/>
      <c r="O492" s="434"/>
      <c r="P492" s="434"/>
      <c r="Q492" s="434"/>
      <c r="R492" s="434"/>
      <c r="S492" s="434"/>
      <c r="T492" s="434"/>
      <c r="U492" s="434"/>
      <c r="V492" s="434"/>
      <c r="W492" s="434"/>
    </row>
    <row r="493">
      <c r="A493" s="434"/>
      <c r="B493" s="434"/>
      <c r="C493" s="434"/>
      <c r="D493" s="434"/>
      <c r="E493" s="434"/>
      <c r="F493" s="434"/>
      <c r="G493" s="434"/>
      <c r="H493" s="434"/>
      <c r="I493" s="434"/>
      <c r="J493" s="434"/>
      <c r="K493" s="434"/>
      <c r="L493" s="434"/>
      <c r="M493" s="434"/>
      <c r="N493" s="434"/>
      <c r="O493" s="434"/>
      <c r="P493" s="434"/>
      <c r="Q493" s="434"/>
      <c r="R493" s="434"/>
      <c r="S493" s="434"/>
      <c r="T493" s="434"/>
      <c r="U493" s="434"/>
      <c r="V493" s="434"/>
      <c r="W493" s="434"/>
    </row>
    <row r="494">
      <c r="A494" s="434"/>
      <c r="B494" s="434"/>
      <c r="C494" s="434"/>
      <c r="D494" s="434"/>
      <c r="E494" s="434"/>
      <c r="F494" s="434"/>
      <c r="G494" s="434"/>
      <c r="H494" s="434"/>
      <c r="I494" s="434"/>
      <c r="J494" s="434"/>
      <c r="K494" s="434"/>
      <c r="L494" s="434"/>
      <c r="M494" s="434"/>
      <c r="N494" s="434"/>
      <c r="O494" s="434"/>
      <c r="P494" s="434"/>
      <c r="Q494" s="434"/>
      <c r="R494" s="434"/>
      <c r="S494" s="434"/>
      <c r="T494" s="434"/>
      <c r="U494" s="434"/>
      <c r="V494" s="434"/>
      <c r="W494" s="434"/>
    </row>
    <row r="495">
      <c r="A495" s="434"/>
      <c r="B495" s="434"/>
      <c r="C495" s="434"/>
      <c r="D495" s="434"/>
      <c r="E495" s="434"/>
      <c r="F495" s="434"/>
      <c r="G495" s="434"/>
      <c r="H495" s="434"/>
      <c r="I495" s="434"/>
      <c r="J495" s="434"/>
      <c r="K495" s="434"/>
      <c r="L495" s="434"/>
      <c r="M495" s="434"/>
      <c r="N495" s="434"/>
      <c r="O495" s="434"/>
      <c r="P495" s="434"/>
      <c r="Q495" s="434"/>
      <c r="R495" s="434"/>
      <c r="S495" s="434"/>
      <c r="T495" s="434"/>
      <c r="U495" s="434"/>
      <c r="V495" s="434"/>
      <c r="W495" s="434"/>
    </row>
    <row r="496">
      <c r="A496" s="434"/>
      <c r="B496" s="434"/>
      <c r="C496" s="434"/>
      <c r="D496" s="434"/>
      <c r="E496" s="434"/>
      <c r="F496" s="434"/>
      <c r="G496" s="434"/>
      <c r="H496" s="434"/>
      <c r="I496" s="434"/>
      <c r="J496" s="434"/>
      <c r="K496" s="434"/>
      <c r="L496" s="434"/>
      <c r="M496" s="434"/>
      <c r="N496" s="434"/>
      <c r="O496" s="434"/>
      <c r="P496" s="434"/>
      <c r="Q496" s="434"/>
      <c r="R496" s="434"/>
      <c r="S496" s="434"/>
      <c r="T496" s="434"/>
      <c r="U496" s="434"/>
      <c r="V496" s="434"/>
      <c r="W496" s="434"/>
    </row>
    <row r="497">
      <c r="A497" s="434"/>
      <c r="B497" s="434"/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  <c r="V497" s="434"/>
      <c r="W497" s="434"/>
    </row>
    <row r="498">
      <c r="A498" s="434"/>
      <c r="B498" s="434"/>
      <c r="C498" s="434"/>
      <c r="D498" s="434"/>
      <c r="E498" s="434"/>
      <c r="F498" s="434"/>
      <c r="G498" s="434"/>
      <c r="H498" s="434"/>
      <c r="I498" s="434"/>
      <c r="J498" s="434"/>
      <c r="K498" s="434"/>
      <c r="L498" s="434"/>
      <c r="M498" s="434"/>
      <c r="N498" s="434"/>
      <c r="O498" s="434"/>
      <c r="P498" s="434"/>
      <c r="Q498" s="434"/>
      <c r="R498" s="434"/>
      <c r="S498" s="434"/>
      <c r="T498" s="434"/>
      <c r="U498" s="434"/>
      <c r="V498" s="434"/>
      <c r="W498" s="434"/>
    </row>
    <row r="499">
      <c r="A499" s="434"/>
      <c r="B499" s="434"/>
      <c r="C499" s="434"/>
      <c r="D499" s="434"/>
      <c r="E499" s="434"/>
      <c r="F499" s="434"/>
      <c r="G499" s="434"/>
      <c r="H499" s="434"/>
      <c r="I499" s="434"/>
      <c r="J499" s="434"/>
      <c r="K499" s="434"/>
      <c r="L499" s="434"/>
      <c r="M499" s="434"/>
      <c r="N499" s="434"/>
      <c r="O499" s="434"/>
      <c r="P499" s="434"/>
      <c r="Q499" s="434"/>
      <c r="R499" s="434"/>
      <c r="S499" s="434"/>
      <c r="T499" s="434"/>
      <c r="U499" s="434"/>
      <c r="V499" s="434"/>
      <c r="W499" s="434"/>
    </row>
    <row r="500">
      <c r="A500" s="434"/>
      <c r="B500" s="434"/>
      <c r="C500" s="434"/>
      <c r="D500" s="434"/>
      <c r="E500" s="434"/>
      <c r="F500" s="434"/>
      <c r="G500" s="434"/>
      <c r="H500" s="434"/>
      <c r="I500" s="434"/>
      <c r="J500" s="434"/>
      <c r="K500" s="434"/>
      <c r="L500" s="434"/>
      <c r="M500" s="434"/>
      <c r="N500" s="434"/>
      <c r="O500" s="434"/>
      <c r="P500" s="434"/>
      <c r="Q500" s="434"/>
      <c r="R500" s="434"/>
      <c r="S500" s="434"/>
      <c r="T500" s="434"/>
      <c r="U500" s="434"/>
      <c r="V500" s="434"/>
      <c r="W500" s="434"/>
    </row>
    <row r="501">
      <c r="A501" s="434"/>
      <c r="B501" s="434"/>
      <c r="C501" s="434"/>
      <c r="D501" s="434"/>
      <c r="E501" s="434"/>
      <c r="F501" s="434"/>
      <c r="G501" s="434"/>
      <c r="H501" s="434"/>
      <c r="I501" s="434"/>
      <c r="J501" s="434"/>
      <c r="K501" s="434"/>
      <c r="L501" s="434"/>
      <c r="M501" s="434"/>
      <c r="N501" s="434"/>
      <c r="O501" s="434"/>
      <c r="P501" s="434"/>
      <c r="Q501" s="434"/>
      <c r="R501" s="434"/>
      <c r="S501" s="434"/>
      <c r="T501" s="434"/>
      <c r="U501" s="434"/>
      <c r="V501" s="434"/>
      <c r="W501" s="434"/>
    </row>
    <row r="502">
      <c r="A502" s="434"/>
      <c r="B502" s="434"/>
      <c r="C502" s="434"/>
      <c r="D502" s="434"/>
      <c r="E502" s="434"/>
      <c r="F502" s="434"/>
      <c r="G502" s="434"/>
      <c r="H502" s="434"/>
      <c r="I502" s="434"/>
      <c r="J502" s="434"/>
      <c r="K502" s="434"/>
      <c r="L502" s="434"/>
      <c r="M502" s="434"/>
      <c r="N502" s="434"/>
      <c r="O502" s="434"/>
      <c r="P502" s="434"/>
      <c r="Q502" s="434"/>
      <c r="R502" s="434"/>
      <c r="S502" s="434"/>
      <c r="T502" s="434"/>
      <c r="U502" s="434"/>
      <c r="V502" s="434"/>
      <c r="W502" s="434"/>
    </row>
    <row r="503">
      <c r="A503" s="434"/>
      <c r="B503" s="434"/>
      <c r="C503" s="434"/>
      <c r="D503" s="434"/>
      <c r="E503" s="434"/>
      <c r="F503" s="434"/>
      <c r="G503" s="434"/>
      <c r="H503" s="434"/>
      <c r="I503" s="434"/>
      <c r="J503" s="434"/>
      <c r="K503" s="434"/>
      <c r="L503" s="434"/>
      <c r="M503" s="434"/>
      <c r="N503" s="434"/>
      <c r="O503" s="434"/>
      <c r="P503" s="434"/>
      <c r="Q503" s="434"/>
      <c r="R503" s="434"/>
      <c r="S503" s="434"/>
      <c r="T503" s="434"/>
      <c r="U503" s="434"/>
      <c r="V503" s="434"/>
      <c r="W503" s="434"/>
    </row>
    <row r="504">
      <c r="A504" s="434"/>
      <c r="B504" s="434"/>
      <c r="C504" s="434"/>
      <c r="D504" s="434"/>
      <c r="E504" s="434"/>
      <c r="F504" s="434"/>
      <c r="G504" s="434"/>
      <c r="H504" s="434"/>
      <c r="I504" s="434"/>
      <c r="J504" s="434"/>
      <c r="K504" s="434"/>
      <c r="L504" s="434"/>
      <c r="M504" s="434"/>
      <c r="N504" s="434"/>
      <c r="O504" s="434"/>
      <c r="P504" s="434"/>
      <c r="Q504" s="434"/>
      <c r="R504" s="434"/>
      <c r="S504" s="434"/>
      <c r="T504" s="434"/>
      <c r="U504" s="434"/>
      <c r="V504" s="434"/>
      <c r="W504" s="434"/>
    </row>
    <row r="505">
      <c r="A505" s="434"/>
      <c r="B505" s="434"/>
      <c r="C505" s="434"/>
      <c r="D505" s="434"/>
      <c r="E505" s="434"/>
      <c r="F505" s="434"/>
      <c r="G505" s="434"/>
      <c r="H505" s="434"/>
      <c r="I505" s="434"/>
      <c r="J505" s="434"/>
      <c r="K505" s="434"/>
      <c r="L505" s="434"/>
      <c r="M505" s="434"/>
      <c r="N505" s="434"/>
      <c r="O505" s="434"/>
      <c r="P505" s="434"/>
      <c r="Q505" s="434"/>
      <c r="R505" s="434"/>
      <c r="S505" s="434"/>
      <c r="T505" s="434"/>
      <c r="U505" s="434"/>
      <c r="V505" s="434"/>
      <c r="W505" s="434"/>
    </row>
    <row r="506">
      <c r="A506" s="434"/>
      <c r="B506" s="434"/>
      <c r="C506" s="434"/>
      <c r="D506" s="434"/>
      <c r="E506" s="434"/>
      <c r="F506" s="434"/>
      <c r="G506" s="434"/>
      <c r="H506" s="434"/>
      <c r="I506" s="434"/>
      <c r="J506" s="434"/>
      <c r="K506" s="434"/>
      <c r="L506" s="434"/>
      <c r="M506" s="434"/>
      <c r="N506" s="434"/>
      <c r="O506" s="434"/>
      <c r="P506" s="434"/>
      <c r="Q506" s="434"/>
      <c r="R506" s="434"/>
      <c r="S506" s="434"/>
      <c r="T506" s="434"/>
      <c r="U506" s="434"/>
      <c r="V506" s="434"/>
      <c r="W506" s="434"/>
    </row>
    <row r="507">
      <c r="A507" s="434"/>
      <c r="B507" s="434"/>
      <c r="C507" s="434"/>
      <c r="D507" s="434"/>
      <c r="E507" s="434"/>
      <c r="F507" s="434"/>
      <c r="G507" s="434"/>
      <c r="H507" s="434"/>
      <c r="I507" s="434"/>
      <c r="J507" s="434"/>
      <c r="K507" s="434"/>
      <c r="L507" s="434"/>
      <c r="M507" s="434"/>
      <c r="N507" s="434"/>
      <c r="O507" s="434"/>
      <c r="P507" s="434"/>
      <c r="Q507" s="434"/>
      <c r="R507" s="434"/>
      <c r="S507" s="434"/>
      <c r="T507" s="434"/>
      <c r="U507" s="434"/>
      <c r="V507" s="434"/>
      <c r="W507" s="434"/>
    </row>
    <row r="508">
      <c r="A508" s="434"/>
      <c r="B508" s="434"/>
      <c r="C508" s="434"/>
      <c r="D508" s="434"/>
      <c r="E508" s="434"/>
      <c r="F508" s="434"/>
      <c r="G508" s="434"/>
      <c r="H508" s="434"/>
      <c r="I508" s="434"/>
      <c r="J508" s="434"/>
      <c r="K508" s="434"/>
      <c r="L508" s="434"/>
      <c r="M508" s="434"/>
      <c r="N508" s="434"/>
      <c r="O508" s="434"/>
      <c r="P508" s="434"/>
      <c r="Q508" s="434"/>
      <c r="R508" s="434"/>
      <c r="S508" s="434"/>
      <c r="T508" s="434"/>
      <c r="U508" s="434"/>
      <c r="V508" s="434"/>
      <c r="W508" s="434"/>
    </row>
    <row r="509">
      <c r="A509" s="434"/>
      <c r="B509" s="434"/>
      <c r="C509" s="434"/>
      <c r="D509" s="434"/>
      <c r="E509" s="434"/>
      <c r="F509" s="434"/>
      <c r="G509" s="434"/>
      <c r="H509" s="434"/>
      <c r="I509" s="434"/>
      <c r="J509" s="434"/>
      <c r="K509" s="434"/>
      <c r="L509" s="434"/>
      <c r="M509" s="434"/>
      <c r="N509" s="434"/>
      <c r="O509" s="434"/>
      <c r="P509" s="434"/>
      <c r="Q509" s="434"/>
      <c r="R509" s="434"/>
      <c r="S509" s="434"/>
      <c r="T509" s="434"/>
      <c r="U509" s="434"/>
      <c r="V509" s="434"/>
      <c r="W509" s="434"/>
    </row>
    <row r="510">
      <c r="A510" s="434"/>
      <c r="B510" s="434"/>
      <c r="C510" s="434"/>
      <c r="D510" s="434"/>
      <c r="E510" s="434"/>
      <c r="F510" s="434"/>
      <c r="G510" s="434"/>
      <c r="H510" s="434"/>
      <c r="I510" s="434"/>
      <c r="J510" s="434"/>
      <c r="K510" s="434"/>
      <c r="L510" s="434"/>
      <c r="M510" s="434"/>
      <c r="N510" s="434"/>
      <c r="O510" s="434"/>
      <c r="P510" s="434"/>
      <c r="Q510" s="434"/>
      <c r="R510" s="434"/>
      <c r="S510" s="434"/>
      <c r="T510" s="434"/>
      <c r="U510" s="434"/>
      <c r="V510" s="434"/>
      <c r="W510" s="434"/>
    </row>
    <row r="511">
      <c r="A511" s="434"/>
      <c r="B511" s="434"/>
      <c r="C511" s="434"/>
      <c r="D511" s="434"/>
      <c r="E511" s="434"/>
      <c r="F511" s="434"/>
      <c r="G511" s="434"/>
      <c r="H511" s="434"/>
      <c r="I511" s="434"/>
      <c r="J511" s="434"/>
      <c r="K511" s="434"/>
      <c r="L511" s="434"/>
      <c r="M511" s="434"/>
      <c r="N511" s="434"/>
      <c r="O511" s="434"/>
      <c r="P511" s="434"/>
      <c r="Q511" s="434"/>
      <c r="R511" s="434"/>
      <c r="S511" s="434"/>
      <c r="T511" s="434"/>
      <c r="U511" s="434"/>
      <c r="V511" s="434"/>
      <c r="W511" s="434"/>
    </row>
    <row r="512">
      <c r="A512" s="434"/>
      <c r="B512" s="434"/>
      <c r="C512" s="434"/>
      <c r="D512" s="434"/>
      <c r="E512" s="434"/>
      <c r="F512" s="434"/>
      <c r="G512" s="434"/>
      <c r="H512" s="434"/>
      <c r="I512" s="434"/>
      <c r="J512" s="434"/>
      <c r="K512" s="434"/>
      <c r="L512" s="434"/>
      <c r="M512" s="434"/>
      <c r="N512" s="434"/>
      <c r="O512" s="434"/>
      <c r="P512" s="434"/>
      <c r="Q512" s="434"/>
      <c r="R512" s="434"/>
      <c r="S512" s="434"/>
      <c r="T512" s="434"/>
      <c r="U512" s="434"/>
      <c r="V512" s="434"/>
      <c r="W512" s="434"/>
    </row>
    <row r="513">
      <c r="A513" s="434"/>
      <c r="B513" s="434"/>
      <c r="C513" s="434"/>
      <c r="D513" s="434"/>
      <c r="E513" s="434"/>
      <c r="F513" s="434"/>
      <c r="G513" s="434"/>
      <c r="H513" s="434"/>
      <c r="I513" s="434"/>
      <c r="J513" s="434"/>
      <c r="K513" s="434"/>
      <c r="L513" s="434"/>
      <c r="M513" s="434"/>
      <c r="N513" s="434"/>
      <c r="O513" s="434"/>
      <c r="P513" s="434"/>
      <c r="Q513" s="434"/>
      <c r="R513" s="434"/>
      <c r="S513" s="434"/>
      <c r="T513" s="434"/>
      <c r="U513" s="434"/>
      <c r="V513" s="434"/>
      <c r="W513" s="434"/>
    </row>
    <row r="514">
      <c r="A514" s="434"/>
      <c r="B514" s="434"/>
      <c r="C514" s="434"/>
      <c r="D514" s="434"/>
      <c r="E514" s="434"/>
      <c r="F514" s="434"/>
      <c r="G514" s="434"/>
      <c r="H514" s="434"/>
      <c r="I514" s="434"/>
      <c r="J514" s="434"/>
      <c r="K514" s="434"/>
      <c r="L514" s="434"/>
      <c r="M514" s="434"/>
      <c r="N514" s="434"/>
      <c r="O514" s="434"/>
      <c r="P514" s="434"/>
      <c r="Q514" s="434"/>
      <c r="R514" s="434"/>
      <c r="S514" s="434"/>
      <c r="T514" s="434"/>
      <c r="U514" s="434"/>
      <c r="V514" s="434"/>
      <c r="W514" s="434"/>
    </row>
    <row r="515">
      <c r="A515" s="434"/>
      <c r="B515" s="434"/>
      <c r="C515" s="434"/>
      <c r="D515" s="434"/>
      <c r="E515" s="434"/>
      <c r="F515" s="434"/>
      <c r="G515" s="434"/>
      <c r="H515" s="434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434"/>
      <c r="V515" s="434"/>
      <c r="W515" s="434"/>
    </row>
    <row r="516">
      <c r="A516" s="434"/>
      <c r="B516" s="434"/>
      <c r="C516" s="434"/>
      <c r="D516" s="434"/>
      <c r="E516" s="434"/>
      <c r="F516" s="434"/>
      <c r="G516" s="434"/>
      <c r="H516" s="434"/>
      <c r="I516" s="434"/>
      <c r="J516" s="434"/>
      <c r="K516" s="434"/>
      <c r="L516" s="434"/>
      <c r="M516" s="434"/>
      <c r="N516" s="434"/>
      <c r="O516" s="434"/>
      <c r="P516" s="434"/>
      <c r="Q516" s="434"/>
      <c r="R516" s="434"/>
      <c r="S516" s="434"/>
      <c r="T516" s="434"/>
      <c r="U516" s="434"/>
      <c r="V516" s="434"/>
      <c r="W516" s="434"/>
    </row>
    <row r="517">
      <c r="A517" s="434"/>
      <c r="B517" s="434"/>
      <c r="C517" s="434"/>
      <c r="D517" s="434"/>
      <c r="E517" s="434"/>
      <c r="F517" s="434"/>
      <c r="G517" s="434"/>
      <c r="H517" s="434"/>
      <c r="I517" s="434"/>
      <c r="J517" s="434"/>
      <c r="K517" s="434"/>
      <c r="L517" s="434"/>
      <c r="M517" s="434"/>
      <c r="N517" s="434"/>
      <c r="O517" s="434"/>
      <c r="P517" s="434"/>
      <c r="Q517" s="434"/>
      <c r="R517" s="434"/>
      <c r="S517" s="434"/>
      <c r="T517" s="434"/>
      <c r="U517" s="434"/>
      <c r="V517" s="434"/>
      <c r="W517" s="434"/>
    </row>
    <row r="518">
      <c r="A518" s="434"/>
      <c r="B518" s="434"/>
      <c r="C518" s="434"/>
      <c r="D518" s="434"/>
      <c r="E518" s="434"/>
      <c r="F518" s="434"/>
      <c r="G518" s="434"/>
      <c r="H518" s="434"/>
      <c r="I518" s="434"/>
      <c r="J518" s="434"/>
      <c r="K518" s="434"/>
      <c r="L518" s="434"/>
      <c r="M518" s="434"/>
      <c r="N518" s="434"/>
      <c r="O518" s="434"/>
      <c r="P518" s="434"/>
      <c r="Q518" s="434"/>
      <c r="R518" s="434"/>
      <c r="S518" s="434"/>
      <c r="T518" s="434"/>
      <c r="U518" s="434"/>
      <c r="V518" s="434"/>
      <c r="W518" s="434"/>
    </row>
    <row r="519">
      <c r="A519" s="434"/>
      <c r="B519" s="434"/>
      <c r="C519" s="434"/>
      <c r="D519" s="434"/>
      <c r="E519" s="434"/>
      <c r="F519" s="434"/>
      <c r="G519" s="434"/>
      <c r="H519" s="434"/>
      <c r="I519" s="434"/>
      <c r="J519" s="434"/>
      <c r="K519" s="434"/>
      <c r="L519" s="434"/>
      <c r="M519" s="434"/>
      <c r="N519" s="434"/>
      <c r="O519" s="434"/>
      <c r="P519" s="434"/>
      <c r="Q519" s="434"/>
      <c r="R519" s="434"/>
      <c r="S519" s="434"/>
      <c r="T519" s="434"/>
      <c r="U519" s="434"/>
      <c r="V519" s="434"/>
      <c r="W519" s="434"/>
    </row>
    <row r="520">
      <c r="A520" s="434"/>
      <c r="B520" s="434"/>
      <c r="C520" s="434"/>
      <c r="D520" s="434"/>
      <c r="E520" s="434"/>
      <c r="F520" s="434"/>
      <c r="G520" s="434"/>
      <c r="H520" s="434"/>
      <c r="I520" s="434"/>
      <c r="J520" s="434"/>
      <c r="K520" s="434"/>
      <c r="L520" s="434"/>
      <c r="M520" s="434"/>
      <c r="N520" s="434"/>
      <c r="O520" s="434"/>
      <c r="P520" s="434"/>
      <c r="Q520" s="434"/>
      <c r="R520" s="434"/>
      <c r="S520" s="434"/>
      <c r="T520" s="434"/>
      <c r="U520" s="434"/>
      <c r="V520" s="434"/>
      <c r="W520" s="434"/>
    </row>
    <row r="521">
      <c r="A521" s="434"/>
      <c r="B521" s="434"/>
      <c r="C521" s="434"/>
      <c r="D521" s="434"/>
      <c r="E521" s="434"/>
      <c r="F521" s="434"/>
      <c r="G521" s="434"/>
      <c r="H521" s="434"/>
      <c r="I521" s="434"/>
      <c r="J521" s="434"/>
      <c r="K521" s="434"/>
      <c r="L521" s="434"/>
      <c r="M521" s="434"/>
      <c r="N521" s="434"/>
      <c r="O521" s="434"/>
      <c r="P521" s="434"/>
      <c r="Q521" s="434"/>
      <c r="R521" s="434"/>
      <c r="S521" s="434"/>
      <c r="T521" s="434"/>
      <c r="U521" s="434"/>
      <c r="V521" s="434"/>
      <c r="W521" s="434"/>
    </row>
    <row r="522">
      <c r="A522" s="434"/>
      <c r="B522" s="434"/>
      <c r="C522" s="434"/>
      <c r="D522" s="434"/>
      <c r="E522" s="434"/>
      <c r="F522" s="434"/>
      <c r="G522" s="434"/>
      <c r="H522" s="434"/>
      <c r="I522" s="434"/>
      <c r="J522" s="434"/>
      <c r="K522" s="434"/>
      <c r="L522" s="434"/>
      <c r="M522" s="434"/>
      <c r="N522" s="434"/>
      <c r="O522" s="434"/>
      <c r="P522" s="434"/>
      <c r="Q522" s="434"/>
      <c r="R522" s="434"/>
      <c r="S522" s="434"/>
      <c r="T522" s="434"/>
      <c r="U522" s="434"/>
      <c r="V522" s="434"/>
      <c r="W522" s="434"/>
    </row>
    <row r="523">
      <c r="A523" s="434"/>
      <c r="B523" s="434"/>
      <c r="C523" s="434"/>
      <c r="D523" s="434"/>
      <c r="E523" s="434"/>
      <c r="F523" s="434"/>
      <c r="G523" s="434"/>
      <c r="H523" s="434"/>
      <c r="I523" s="434"/>
      <c r="J523" s="434"/>
      <c r="K523" s="434"/>
      <c r="L523" s="434"/>
      <c r="M523" s="434"/>
      <c r="N523" s="434"/>
      <c r="O523" s="434"/>
      <c r="P523" s="434"/>
      <c r="Q523" s="434"/>
      <c r="R523" s="434"/>
      <c r="S523" s="434"/>
      <c r="T523" s="434"/>
      <c r="U523" s="434"/>
      <c r="V523" s="434"/>
      <c r="W523" s="434"/>
    </row>
    <row r="524">
      <c r="A524" s="434"/>
      <c r="B524" s="434"/>
      <c r="C524" s="434"/>
      <c r="D524" s="434"/>
      <c r="E524" s="434"/>
      <c r="F524" s="434"/>
      <c r="G524" s="434"/>
      <c r="H524" s="434"/>
      <c r="I524" s="434"/>
      <c r="J524" s="434"/>
      <c r="K524" s="434"/>
      <c r="L524" s="434"/>
      <c r="M524" s="434"/>
      <c r="N524" s="434"/>
      <c r="O524" s="434"/>
      <c r="P524" s="434"/>
      <c r="Q524" s="434"/>
      <c r="R524" s="434"/>
      <c r="S524" s="434"/>
      <c r="T524" s="434"/>
      <c r="U524" s="434"/>
      <c r="V524" s="434"/>
      <c r="W524" s="434"/>
    </row>
    <row r="525">
      <c r="A525" s="434"/>
      <c r="B525" s="434"/>
      <c r="C525" s="434"/>
      <c r="D525" s="434"/>
      <c r="E525" s="434"/>
      <c r="F525" s="434"/>
      <c r="G525" s="434"/>
      <c r="H525" s="434"/>
      <c r="I525" s="434"/>
      <c r="J525" s="434"/>
      <c r="K525" s="434"/>
      <c r="L525" s="434"/>
      <c r="M525" s="434"/>
      <c r="N525" s="434"/>
      <c r="O525" s="434"/>
      <c r="P525" s="434"/>
      <c r="Q525" s="434"/>
      <c r="R525" s="434"/>
      <c r="S525" s="434"/>
      <c r="T525" s="434"/>
      <c r="U525" s="434"/>
      <c r="V525" s="434"/>
      <c r="W525" s="434"/>
    </row>
    <row r="526">
      <c r="A526" s="434"/>
      <c r="B526" s="434"/>
      <c r="C526" s="434"/>
      <c r="D526" s="434"/>
      <c r="E526" s="434"/>
      <c r="F526" s="434"/>
      <c r="G526" s="434"/>
      <c r="H526" s="434"/>
      <c r="I526" s="434"/>
      <c r="J526" s="434"/>
      <c r="K526" s="434"/>
      <c r="L526" s="434"/>
      <c r="M526" s="434"/>
      <c r="N526" s="434"/>
      <c r="O526" s="434"/>
      <c r="P526" s="434"/>
      <c r="Q526" s="434"/>
      <c r="R526" s="434"/>
      <c r="S526" s="434"/>
      <c r="T526" s="434"/>
      <c r="U526" s="434"/>
      <c r="V526" s="434"/>
      <c r="W526" s="434"/>
    </row>
    <row r="527">
      <c r="A527" s="434"/>
      <c r="B527" s="434"/>
      <c r="C527" s="434"/>
      <c r="D527" s="434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434"/>
      <c r="P527" s="434"/>
      <c r="Q527" s="434"/>
      <c r="R527" s="434"/>
      <c r="S527" s="434"/>
      <c r="T527" s="434"/>
      <c r="U527" s="434"/>
      <c r="V527" s="434"/>
      <c r="W527" s="434"/>
    </row>
    <row r="528">
      <c r="A528" s="434"/>
      <c r="B528" s="434"/>
      <c r="C528" s="434"/>
      <c r="D528" s="434"/>
      <c r="E528" s="434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</row>
    <row r="529">
      <c r="A529" s="434"/>
      <c r="B529" s="434"/>
      <c r="C529" s="434"/>
      <c r="D529" s="434"/>
      <c r="E529" s="434"/>
      <c r="F529" s="434"/>
      <c r="G529" s="434"/>
      <c r="H529" s="434"/>
      <c r="I529" s="434"/>
      <c r="J529" s="434"/>
      <c r="K529" s="434"/>
      <c r="L529" s="434"/>
      <c r="M529" s="434"/>
      <c r="N529" s="434"/>
      <c r="O529" s="434"/>
      <c r="P529" s="434"/>
      <c r="Q529" s="434"/>
      <c r="R529" s="434"/>
      <c r="S529" s="434"/>
      <c r="T529" s="434"/>
      <c r="U529" s="434"/>
      <c r="V529" s="434"/>
      <c r="W529" s="434"/>
    </row>
    <row r="530">
      <c r="A530" s="434"/>
      <c r="B530" s="434"/>
      <c r="C530" s="434"/>
      <c r="D530" s="434"/>
      <c r="E530" s="434"/>
      <c r="F530" s="434"/>
      <c r="G530" s="434"/>
      <c r="H530" s="434"/>
      <c r="I530" s="434"/>
      <c r="J530" s="434"/>
      <c r="K530" s="434"/>
      <c r="L530" s="434"/>
      <c r="M530" s="434"/>
      <c r="N530" s="434"/>
      <c r="O530" s="434"/>
      <c r="P530" s="434"/>
      <c r="Q530" s="434"/>
      <c r="R530" s="434"/>
      <c r="S530" s="434"/>
      <c r="T530" s="434"/>
      <c r="U530" s="434"/>
      <c r="V530" s="434"/>
      <c r="W530" s="434"/>
    </row>
    <row r="531">
      <c r="A531" s="434"/>
      <c r="B531" s="434"/>
      <c r="C531" s="434"/>
      <c r="D531" s="434"/>
      <c r="E531" s="434"/>
      <c r="F531" s="434"/>
      <c r="G531" s="434"/>
      <c r="H531" s="434"/>
      <c r="I531" s="434"/>
      <c r="J531" s="434"/>
      <c r="K531" s="434"/>
      <c r="L531" s="434"/>
      <c r="M531" s="434"/>
      <c r="N531" s="434"/>
      <c r="O531" s="434"/>
      <c r="P531" s="434"/>
      <c r="Q531" s="434"/>
      <c r="R531" s="434"/>
      <c r="S531" s="434"/>
      <c r="T531" s="434"/>
      <c r="U531" s="434"/>
      <c r="V531" s="434"/>
      <c r="W531" s="434"/>
    </row>
    <row r="532">
      <c r="A532" s="434"/>
      <c r="B532" s="434"/>
      <c r="C532" s="434"/>
      <c r="D532" s="434"/>
      <c r="E532" s="434"/>
      <c r="F532" s="434"/>
      <c r="G532" s="434"/>
      <c r="H532" s="434"/>
      <c r="I532" s="434"/>
      <c r="J532" s="434"/>
      <c r="K532" s="434"/>
      <c r="L532" s="434"/>
      <c r="M532" s="434"/>
      <c r="N532" s="434"/>
      <c r="O532" s="434"/>
      <c r="P532" s="434"/>
      <c r="Q532" s="434"/>
      <c r="R532" s="434"/>
      <c r="S532" s="434"/>
      <c r="T532" s="434"/>
      <c r="U532" s="434"/>
      <c r="V532" s="434"/>
      <c r="W532" s="434"/>
    </row>
    <row r="533">
      <c r="A533" s="434"/>
      <c r="B533" s="434"/>
      <c r="C533" s="434"/>
      <c r="D533" s="434"/>
      <c r="E533" s="434"/>
      <c r="F533" s="434"/>
      <c r="G533" s="434"/>
      <c r="H533" s="434"/>
      <c r="I533" s="434"/>
      <c r="J533" s="434"/>
      <c r="K533" s="434"/>
      <c r="L533" s="434"/>
      <c r="M533" s="434"/>
      <c r="N533" s="434"/>
      <c r="O533" s="434"/>
      <c r="P533" s="434"/>
      <c r="Q533" s="434"/>
      <c r="R533" s="434"/>
      <c r="S533" s="434"/>
      <c r="T533" s="434"/>
      <c r="U533" s="434"/>
      <c r="V533" s="434"/>
      <c r="W533" s="434"/>
    </row>
    <row r="534">
      <c r="A534" s="434"/>
      <c r="B534" s="434"/>
      <c r="C534" s="434"/>
      <c r="D534" s="434"/>
      <c r="E534" s="434"/>
      <c r="F534" s="434"/>
      <c r="G534" s="434"/>
      <c r="H534" s="434"/>
      <c r="I534" s="434"/>
      <c r="J534" s="434"/>
      <c r="K534" s="434"/>
      <c r="L534" s="434"/>
      <c r="M534" s="434"/>
      <c r="N534" s="434"/>
      <c r="O534" s="434"/>
      <c r="P534" s="434"/>
      <c r="Q534" s="434"/>
      <c r="R534" s="434"/>
      <c r="S534" s="434"/>
      <c r="T534" s="434"/>
      <c r="U534" s="434"/>
      <c r="V534" s="434"/>
      <c r="W534" s="434"/>
    </row>
    <row r="535">
      <c r="A535" s="434"/>
      <c r="B535" s="434"/>
      <c r="C535" s="434"/>
      <c r="D535" s="434"/>
      <c r="E535" s="434"/>
      <c r="F535" s="434"/>
      <c r="G535" s="434"/>
      <c r="H535" s="434"/>
      <c r="I535" s="434"/>
      <c r="J535" s="434"/>
      <c r="K535" s="434"/>
      <c r="L535" s="434"/>
      <c r="M535" s="434"/>
      <c r="N535" s="434"/>
      <c r="O535" s="434"/>
      <c r="P535" s="434"/>
      <c r="Q535" s="434"/>
      <c r="R535" s="434"/>
      <c r="S535" s="434"/>
      <c r="T535" s="434"/>
      <c r="U535" s="434"/>
      <c r="V535" s="434"/>
      <c r="W535" s="434"/>
    </row>
    <row r="536">
      <c r="A536" s="434"/>
      <c r="B536" s="434"/>
      <c r="C536" s="434"/>
      <c r="D536" s="434"/>
      <c r="E536" s="434"/>
      <c r="F536" s="434"/>
      <c r="G536" s="434"/>
      <c r="H536" s="434"/>
      <c r="I536" s="434"/>
      <c r="J536" s="434"/>
      <c r="K536" s="434"/>
      <c r="L536" s="434"/>
      <c r="M536" s="434"/>
      <c r="N536" s="434"/>
      <c r="O536" s="434"/>
      <c r="P536" s="434"/>
      <c r="Q536" s="434"/>
      <c r="R536" s="434"/>
      <c r="S536" s="434"/>
      <c r="T536" s="434"/>
      <c r="U536" s="434"/>
      <c r="V536" s="434"/>
      <c r="W536" s="434"/>
    </row>
    <row r="537">
      <c r="A537" s="434"/>
      <c r="B537" s="434"/>
      <c r="C537" s="434"/>
      <c r="D537" s="434"/>
      <c r="E537" s="434"/>
      <c r="F537" s="434"/>
      <c r="G537" s="434"/>
      <c r="H537" s="434"/>
      <c r="I537" s="434"/>
      <c r="J537" s="434"/>
      <c r="K537" s="434"/>
      <c r="L537" s="434"/>
      <c r="M537" s="434"/>
      <c r="N537" s="434"/>
      <c r="O537" s="434"/>
      <c r="P537" s="434"/>
      <c r="Q537" s="434"/>
      <c r="R537" s="434"/>
      <c r="S537" s="434"/>
      <c r="T537" s="434"/>
      <c r="U537" s="434"/>
      <c r="V537" s="434"/>
      <c r="W537" s="434"/>
    </row>
    <row r="538">
      <c r="A538" s="434"/>
      <c r="B538" s="434"/>
      <c r="C538" s="434"/>
      <c r="D538" s="434"/>
      <c r="E538" s="434"/>
      <c r="F538" s="434"/>
      <c r="G538" s="434"/>
      <c r="H538" s="434"/>
      <c r="I538" s="434"/>
      <c r="J538" s="434"/>
      <c r="K538" s="434"/>
      <c r="L538" s="434"/>
      <c r="M538" s="434"/>
      <c r="N538" s="434"/>
      <c r="O538" s="434"/>
      <c r="P538" s="434"/>
      <c r="Q538" s="434"/>
      <c r="R538" s="434"/>
      <c r="S538" s="434"/>
      <c r="T538" s="434"/>
      <c r="U538" s="434"/>
      <c r="V538" s="434"/>
      <c r="W538" s="434"/>
    </row>
    <row r="539">
      <c r="A539" s="434"/>
      <c r="B539" s="434"/>
      <c r="C539" s="434"/>
      <c r="D539" s="434"/>
      <c r="E539" s="434"/>
      <c r="F539" s="434"/>
      <c r="G539" s="434"/>
      <c r="H539" s="434"/>
      <c r="I539" s="434"/>
      <c r="J539" s="434"/>
      <c r="K539" s="434"/>
      <c r="L539" s="434"/>
      <c r="M539" s="434"/>
      <c r="N539" s="434"/>
      <c r="O539" s="434"/>
      <c r="P539" s="434"/>
      <c r="Q539" s="434"/>
      <c r="R539" s="434"/>
      <c r="S539" s="434"/>
      <c r="T539" s="434"/>
      <c r="U539" s="434"/>
      <c r="V539" s="434"/>
      <c r="W539" s="434"/>
    </row>
    <row r="540">
      <c r="A540" s="434"/>
      <c r="B540" s="434"/>
      <c r="C540" s="434"/>
      <c r="D540" s="434"/>
      <c r="E540" s="434"/>
      <c r="F540" s="434"/>
      <c r="G540" s="434"/>
      <c r="H540" s="434"/>
      <c r="I540" s="434"/>
      <c r="J540" s="434"/>
      <c r="K540" s="434"/>
      <c r="L540" s="434"/>
      <c r="M540" s="434"/>
      <c r="N540" s="434"/>
      <c r="O540" s="434"/>
      <c r="P540" s="434"/>
      <c r="Q540" s="434"/>
      <c r="R540" s="434"/>
      <c r="S540" s="434"/>
      <c r="T540" s="434"/>
      <c r="U540" s="434"/>
      <c r="V540" s="434"/>
      <c r="W540" s="434"/>
    </row>
    <row r="541">
      <c r="A541" s="434"/>
      <c r="B541" s="434"/>
      <c r="C541" s="434"/>
      <c r="D541" s="434"/>
      <c r="E541" s="434"/>
      <c r="F541" s="434"/>
      <c r="G541" s="434"/>
      <c r="H541" s="434"/>
      <c r="I541" s="434"/>
      <c r="J541" s="434"/>
      <c r="K541" s="434"/>
      <c r="L541" s="434"/>
      <c r="M541" s="434"/>
      <c r="N541" s="434"/>
      <c r="O541" s="434"/>
      <c r="P541" s="434"/>
      <c r="Q541" s="434"/>
      <c r="R541" s="434"/>
      <c r="S541" s="434"/>
      <c r="T541" s="434"/>
      <c r="U541" s="434"/>
      <c r="V541" s="434"/>
      <c r="W541" s="434"/>
    </row>
    <row r="542">
      <c r="A542" s="434"/>
      <c r="B542" s="434"/>
      <c r="C542" s="434"/>
      <c r="D542" s="434"/>
      <c r="E542" s="434"/>
      <c r="F542" s="434"/>
      <c r="G542" s="434"/>
      <c r="H542" s="434"/>
      <c r="I542" s="434"/>
      <c r="J542" s="434"/>
      <c r="K542" s="434"/>
      <c r="L542" s="434"/>
      <c r="M542" s="434"/>
      <c r="N542" s="434"/>
      <c r="O542" s="434"/>
      <c r="P542" s="434"/>
      <c r="Q542" s="434"/>
      <c r="R542" s="434"/>
      <c r="S542" s="434"/>
      <c r="T542" s="434"/>
      <c r="U542" s="434"/>
      <c r="V542" s="434"/>
      <c r="W542" s="434"/>
    </row>
    <row r="543">
      <c r="A543" s="434"/>
      <c r="B543" s="434"/>
      <c r="C543" s="434"/>
      <c r="D543" s="434"/>
      <c r="E543" s="434"/>
      <c r="F543" s="434"/>
      <c r="G543" s="434"/>
      <c r="H543" s="434"/>
      <c r="I543" s="434"/>
      <c r="J543" s="434"/>
      <c r="K543" s="434"/>
      <c r="L543" s="434"/>
      <c r="M543" s="434"/>
      <c r="N543" s="434"/>
      <c r="O543" s="434"/>
      <c r="P543" s="434"/>
      <c r="Q543" s="434"/>
      <c r="R543" s="434"/>
      <c r="S543" s="434"/>
      <c r="T543" s="434"/>
      <c r="U543" s="434"/>
      <c r="V543" s="434"/>
      <c r="W543" s="434"/>
    </row>
    <row r="544">
      <c r="A544" s="434"/>
      <c r="B544" s="434"/>
      <c r="C544" s="434"/>
      <c r="D544" s="434"/>
      <c r="E544" s="434"/>
      <c r="F544" s="434"/>
      <c r="G544" s="434"/>
      <c r="H544" s="434"/>
      <c r="I544" s="434"/>
      <c r="J544" s="434"/>
      <c r="K544" s="434"/>
      <c r="L544" s="434"/>
      <c r="M544" s="434"/>
      <c r="N544" s="434"/>
      <c r="O544" s="434"/>
      <c r="P544" s="434"/>
      <c r="Q544" s="434"/>
      <c r="R544" s="434"/>
      <c r="S544" s="434"/>
      <c r="T544" s="434"/>
      <c r="U544" s="434"/>
      <c r="V544" s="434"/>
      <c r="W544" s="434"/>
    </row>
    <row r="545">
      <c r="A545" s="434"/>
      <c r="B545" s="434"/>
      <c r="C545" s="434"/>
      <c r="D545" s="434"/>
      <c r="E545" s="434"/>
      <c r="F545" s="434"/>
      <c r="G545" s="434"/>
      <c r="H545" s="434"/>
      <c r="I545" s="434"/>
      <c r="J545" s="434"/>
      <c r="K545" s="434"/>
      <c r="L545" s="434"/>
      <c r="M545" s="434"/>
      <c r="N545" s="434"/>
      <c r="O545" s="434"/>
      <c r="P545" s="434"/>
      <c r="Q545" s="434"/>
      <c r="R545" s="434"/>
      <c r="S545" s="434"/>
      <c r="T545" s="434"/>
      <c r="U545" s="434"/>
      <c r="V545" s="434"/>
      <c r="W545" s="434"/>
    </row>
    <row r="546">
      <c r="A546" s="434"/>
      <c r="B546" s="434"/>
      <c r="C546" s="434"/>
      <c r="D546" s="434"/>
      <c r="E546" s="434"/>
      <c r="F546" s="434"/>
      <c r="G546" s="434"/>
      <c r="H546" s="434"/>
      <c r="I546" s="434"/>
      <c r="J546" s="434"/>
      <c r="K546" s="434"/>
      <c r="L546" s="434"/>
      <c r="M546" s="434"/>
      <c r="N546" s="434"/>
      <c r="O546" s="434"/>
      <c r="P546" s="434"/>
      <c r="Q546" s="434"/>
      <c r="R546" s="434"/>
      <c r="S546" s="434"/>
      <c r="T546" s="434"/>
      <c r="U546" s="434"/>
      <c r="V546" s="434"/>
      <c r="W546" s="434"/>
    </row>
    <row r="547">
      <c r="A547" s="434"/>
      <c r="B547" s="434"/>
      <c r="C547" s="434"/>
      <c r="D547" s="434"/>
      <c r="E547" s="434"/>
      <c r="F547" s="434"/>
      <c r="G547" s="434"/>
      <c r="H547" s="434"/>
      <c r="I547" s="434"/>
      <c r="J547" s="434"/>
      <c r="K547" s="434"/>
      <c r="L547" s="434"/>
      <c r="M547" s="434"/>
      <c r="N547" s="434"/>
      <c r="O547" s="434"/>
      <c r="P547" s="434"/>
      <c r="Q547" s="434"/>
      <c r="R547" s="434"/>
      <c r="S547" s="434"/>
      <c r="T547" s="434"/>
      <c r="U547" s="434"/>
      <c r="V547" s="434"/>
      <c r="W547" s="434"/>
    </row>
    <row r="548">
      <c r="A548" s="434"/>
      <c r="B548" s="434"/>
      <c r="C548" s="434"/>
      <c r="D548" s="434"/>
      <c r="E548" s="434"/>
      <c r="F548" s="434"/>
      <c r="G548" s="434"/>
      <c r="H548" s="434"/>
      <c r="I548" s="434"/>
      <c r="J548" s="434"/>
      <c r="K548" s="434"/>
      <c r="L548" s="434"/>
      <c r="M548" s="434"/>
      <c r="N548" s="434"/>
      <c r="O548" s="434"/>
      <c r="P548" s="434"/>
      <c r="Q548" s="434"/>
      <c r="R548" s="434"/>
      <c r="S548" s="434"/>
      <c r="T548" s="434"/>
      <c r="U548" s="434"/>
      <c r="V548" s="434"/>
      <c r="W548" s="434"/>
    </row>
    <row r="549">
      <c r="A549" s="434"/>
      <c r="B549" s="434"/>
      <c r="C549" s="434"/>
      <c r="D549" s="434"/>
      <c r="E549" s="434"/>
      <c r="F549" s="434"/>
      <c r="G549" s="434"/>
      <c r="H549" s="434"/>
      <c r="I549" s="434"/>
      <c r="J549" s="434"/>
      <c r="K549" s="434"/>
      <c r="L549" s="434"/>
      <c r="M549" s="434"/>
      <c r="N549" s="434"/>
      <c r="O549" s="434"/>
      <c r="P549" s="434"/>
      <c r="Q549" s="434"/>
      <c r="R549" s="434"/>
      <c r="S549" s="434"/>
      <c r="T549" s="434"/>
      <c r="U549" s="434"/>
      <c r="V549" s="434"/>
      <c r="W549" s="434"/>
    </row>
    <row r="550">
      <c r="A550" s="434"/>
      <c r="B550" s="434"/>
      <c r="C550" s="434"/>
      <c r="D550" s="434"/>
      <c r="E550" s="434"/>
      <c r="F550" s="434"/>
      <c r="G550" s="434"/>
      <c r="H550" s="434"/>
      <c r="I550" s="434"/>
      <c r="J550" s="434"/>
      <c r="K550" s="434"/>
      <c r="L550" s="434"/>
      <c r="M550" s="434"/>
      <c r="N550" s="434"/>
      <c r="O550" s="434"/>
      <c r="P550" s="434"/>
      <c r="Q550" s="434"/>
      <c r="R550" s="434"/>
      <c r="S550" s="434"/>
      <c r="T550" s="434"/>
      <c r="U550" s="434"/>
      <c r="V550" s="434"/>
      <c r="W550" s="434"/>
    </row>
    <row r="551">
      <c r="A551" s="434"/>
      <c r="B551" s="434"/>
      <c r="C551" s="434"/>
      <c r="D551" s="434"/>
      <c r="E551" s="434"/>
      <c r="F551" s="434"/>
      <c r="G551" s="434"/>
      <c r="H551" s="434"/>
      <c r="I551" s="434"/>
      <c r="J551" s="434"/>
      <c r="K551" s="434"/>
      <c r="L551" s="434"/>
      <c r="M551" s="434"/>
      <c r="N551" s="434"/>
      <c r="O551" s="434"/>
      <c r="P551" s="434"/>
      <c r="Q551" s="434"/>
      <c r="R551" s="434"/>
      <c r="S551" s="434"/>
      <c r="T551" s="434"/>
      <c r="U551" s="434"/>
      <c r="V551" s="434"/>
      <c r="W551" s="434"/>
    </row>
    <row r="552">
      <c r="A552" s="434"/>
      <c r="B552" s="434"/>
      <c r="C552" s="434"/>
      <c r="D552" s="434"/>
      <c r="E552" s="434"/>
      <c r="F552" s="434"/>
      <c r="G552" s="434"/>
      <c r="H552" s="434"/>
      <c r="I552" s="434"/>
      <c r="J552" s="434"/>
      <c r="K552" s="434"/>
      <c r="L552" s="434"/>
      <c r="M552" s="434"/>
      <c r="N552" s="434"/>
      <c r="O552" s="434"/>
      <c r="P552" s="434"/>
      <c r="Q552" s="434"/>
      <c r="R552" s="434"/>
      <c r="S552" s="434"/>
      <c r="T552" s="434"/>
      <c r="U552" s="434"/>
      <c r="V552" s="434"/>
      <c r="W552" s="434"/>
    </row>
    <row r="553">
      <c r="A553" s="434"/>
      <c r="B553" s="434"/>
      <c r="C553" s="434"/>
      <c r="D553" s="434"/>
      <c r="E553" s="434"/>
      <c r="F553" s="434"/>
      <c r="G553" s="434"/>
      <c r="H553" s="434"/>
      <c r="I553" s="434"/>
      <c r="J553" s="434"/>
      <c r="K553" s="434"/>
      <c r="L553" s="434"/>
      <c r="M553" s="434"/>
      <c r="N553" s="434"/>
      <c r="O553" s="434"/>
      <c r="P553" s="434"/>
      <c r="Q553" s="434"/>
      <c r="R553" s="434"/>
      <c r="S553" s="434"/>
      <c r="T553" s="434"/>
      <c r="U553" s="434"/>
      <c r="V553" s="434"/>
      <c r="W553" s="434"/>
    </row>
    <row r="554">
      <c r="A554" s="434"/>
      <c r="B554" s="434"/>
      <c r="C554" s="434"/>
      <c r="D554" s="434"/>
      <c r="E554" s="434"/>
      <c r="F554" s="434"/>
      <c r="G554" s="434"/>
      <c r="H554" s="434"/>
      <c r="I554" s="434"/>
      <c r="J554" s="434"/>
      <c r="K554" s="434"/>
      <c r="L554" s="434"/>
      <c r="M554" s="434"/>
      <c r="N554" s="434"/>
      <c r="O554" s="434"/>
      <c r="P554" s="434"/>
      <c r="Q554" s="434"/>
      <c r="R554" s="434"/>
      <c r="S554" s="434"/>
      <c r="T554" s="434"/>
      <c r="U554" s="434"/>
      <c r="V554" s="434"/>
      <c r="W554" s="434"/>
    </row>
    <row r="555">
      <c r="A555" s="434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  <c r="V555" s="434"/>
      <c r="W555" s="434"/>
    </row>
    <row r="556">
      <c r="A556" s="434"/>
      <c r="B556" s="434"/>
      <c r="C556" s="434"/>
      <c r="D556" s="434"/>
      <c r="E556" s="434"/>
      <c r="F556" s="434"/>
      <c r="G556" s="434"/>
      <c r="H556" s="434"/>
      <c r="I556" s="434"/>
      <c r="J556" s="434"/>
      <c r="K556" s="434"/>
      <c r="L556" s="434"/>
      <c r="M556" s="434"/>
      <c r="N556" s="434"/>
      <c r="O556" s="434"/>
      <c r="P556" s="434"/>
      <c r="Q556" s="434"/>
      <c r="R556" s="434"/>
      <c r="S556" s="434"/>
      <c r="T556" s="434"/>
      <c r="U556" s="434"/>
      <c r="V556" s="434"/>
      <c r="W556" s="434"/>
    </row>
    <row r="557">
      <c r="A557" s="434"/>
      <c r="B557" s="434"/>
      <c r="C557" s="434"/>
      <c r="D557" s="434"/>
      <c r="E557" s="434"/>
      <c r="F557" s="434"/>
      <c r="G557" s="434"/>
      <c r="H557" s="434"/>
      <c r="I557" s="434"/>
      <c r="J557" s="434"/>
      <c r="K557" s="434"/>
      <c r="L557" s="434"/>
      <c r="M557" s="434"/>
      <c r="N557" s="434"/>
      <c r="O557" s="434"/>
      <c r="P557" s="434"/>
      <c r="Q557" s="434"/>
      <c r="R557" s="434"/>
      <c r="S557" s="434"/>
      <c r="T557" s="434"/>
      <c r="U557" s="434"/>
      <c r="V557" s="434"/>
      <c r="W557" s="434"/>
    </row>
    <row r="558">
      <c r="A558" s="434"/>
      <c r="B558" s="434"/>
      <c r="C558" s="434"/>
      <c r="D558" s="434"/>
      <c r="E558" s="434"/>
      <c r="F558" s="434"/>
      <c r="G558" s="434"/>
      <c r="H558" s="434"/>
      <c r="I558" s="434"/>
      <c r="J558" s="434"/>
      <c r="K558" s="434"/>
      <c r="L558" s="434"/>
      <c r="M558" s="434"/>
      <c r="N558" s="434"/>
      <c r="O558" s="434"/>
      <c r="P558" s="434"/>
      <c r="Q558" s="434"/>
      <c r="R558" s="434"/>
      <c r="S558" s="434"/>
      <c r="T558" s="434"/>
      <c r="U558" s="434"/>
      <c r="V558" s="434"/>
      <c r="W558" s="434"/>
    </row>
    <row r="559">
      <c r="A559" s="434"/>
      <c r="B559" s="434"/>
      <c r="C559" s="434"/>
      <c r="D559" s="434"/>
      <c r="E559" s="434"/>
      <c r="F559" s="434"/>
      <c r="G559" s="434"/>
      <c r="H559" s="434"/>
      <c r="I559" s="434"/>
      <c r="J559" s="434"/>
      <c r="K559" s="434"/>
      <c r="L559" s="434"/>
      <c r="M559" s="434"/>
      <c r="N559" s="434"/>
      <c r="O559" s="434"/>
      <c r="P559" s="434"/>
      <c r="Q559" s="434"/>
      <c r="R559" s="434"/>
      <c r="S559" s="434"/>
      <c r="T559" s="434"/>
      <c r="U559" s="434"/>
      <c r="V559" s="434"/>
      <c r="W559" s="434"/>
    </row>
    <row r="560">
      <c r="A560" s="434"/>
      <c r="B560" s="434"/>
      <c r="C560" s="434"/>
      <c r="D560" s="434"/>
      <c r="E560" s="434"/>
      <c r="F560" s="434"/>
      <c r="G560" s="434"/>
      <c r="H560" s="434"/>
      <c r="I560" s="434"/>
      <c r="J560" s="434"/>
      <c r="K560" s="434"/>
      <c r="L560" s="434"/>
      <c r="M560" s="434"/>
      <c r="N560" s="434"/>
      <c r="O560" s="434"/>
      <c r="P560" s="434"/>
      <c r="Q560" s="434"/>
      <c r="R560" s="434"/>
      <c r="S560" s="434"/>
      <c r="T560" s="434"/>
      <c r="U560" s="434"/>
      <c r="V560" s="434"/>
      <c r="W560" s="434"/>
    </row>
    <row r="561">
      <c r="A561" s="434"/>
      <c r="B561" s="434"/>
      <c r="C561" s="434"/>
      <c r="D561" s="434"/>
      <c r="E561" s="434"/>
      <c r="F561" s="434"/>
      <c r="G561" s="434"/>
      <c r="H561" s="434"/>
      <c r="I561" s="434"/>
      <c r="J561" s="434"/>
      <c r="K561" s="434"/>
      <c r="L561" s="434"/>
      <c r="M561" s="434"/>
      <c r="N561" s="434"/>
      <c r="O561" s="434"/>
      <c r="P561" s="434"/>
      <c r="Q561" s="434"/>
      <c r="R561" s="434"/>
      <c r="S561" s="434"/>
      <c r="T561" s="434"/>
      <c r="U561" s="434"/>
      <c r="V561" s="434"/>
      <c r="W561" s="434"/>
    </row>
    <row r="562">
      <c r="A562" s="434"/>
      <c r="B562" s="434"/>
      <c r="C562" s="434"/>
      <c r="D562" s="434"/>
      <c r="E562" s="434"/>
      <c r="F562" s="434"/>
      <c r="G562" s="434"/>
      <c r="H562" s="434"/>
      <c r="I562" s="434"/>
      <c r="J562" s="434"/>
      <c r="K562" s="434"/>
      <c r="L562" s="434"/>
      <c r="M562" s="434"/>
      <c r="N562" s="434"/>
      <c r="O562" s="434"/>
      <c r="P562" s="434"/>
      <c r="Q562" s="434"/>
      <c r="R562" s="434"/>
      <c r="S562" s="434"/>
      <c r="T562" s="434"/>
      <c r="U562" s="434"/>
      <c r="V562" s="434"/>
      <c r="W562" s="434"/>
    </row>
    <row r="563">
      <c r="A563" s="434"/>
      <c r="B563" s="434"/>
      <c r="C563" s="434"/>
      <c r="D563" s="434"/>
      <c r="E563" s="434"/>
      <c r="F563" s="434"/>
      <c r="G563" s="434"/>
      <c r="H563" s="434"/>
      <c r="I563" s="434"/>
      <c r="J563" s="434"/>
      <c r="K563" s="434"/>
      <c r="L563" s="434"/>
      <c r="M563" s="434"/>
      <c r="N563" s="434"/>
      <c r="O563" s="434"/>
      <c r="P563" s="434"/>
      <c r="Q563" s="434"/>
      <c r="R563" s="434"/>
      <c r="S563" s="434"/>
      <c r="T563" s="434"/>
      <c r="U563" s="434"/>
      <c r="V563" s="434"/>
      <c r="W563" s="434"/>
    </row>
    <row r="564">
      <c r="A564" s="434"/>
      <c r="B564" s="434"/>
      <c r="C564" s="434"/>
      <c r="D564" s="434"/>
      <c r="E564" s="434"/>
      <c r="F564" s="434"/>
      <c r="G564" s="434"/>
      <c r="H564" s="434"/>
      <c r="I564" s="434"/>
      <c r="J564" s="434"/>
      <c r="K564" s="434"/>
      <c r="L564" s="434"/>
      <c r="M564" s="434"/>
      <c r="N564" s="434"/>
      <c r="O564" s="434"/>
      <c r="P564" s="434"/>
      <c r="Q564" s="434"/>
      <c r="R564" s="434"/>
      <c r="S564" s="434"/>
      <c r="T564" s="434"/>
      <c r="U564" s="434"/>
      <c r="V564" s="434"/>
      <c r="W564" s="434"/>
    </row>
    <row r="565">
      <c r="A565" s="434"/>
      <c r="B565" s="434"/>
      <c r="C565" s="434"/>
      <c r="D565" s="434"/>
      <c r="E565" s="434"/>
      <c r="F565" s="434"/>
      <c r="G565" s="434"/>
      <c r="H565" s="434"/>
      <c r="I565" s="434"/>
      <c r="J565" s="434"/>
      <c r="K565" s="434"/>
      <c r="L565" s="434"/>
      <c r="M565" s="434"/>
      <c r="N565" s="434"/>
      <c r="O565" s="434"/>
      <c r="P565" s="434"/>
      <c r="Q565" s="434"/>
      <c r="R565" s="434"/>
      <c r="S565" s="434"/>
      <c r="T565" s="434"/>
      <c r="U565" s="434"/>
      <c r="V565" s="434"/>
      <c r="W565" s="434"/>
    </row>
    <row r="566">
      <c r="A566" s="434"/>
      <c r="B566" s="434"/>
      <c r="C566" s="434"/>
      <c r="D566" s="434"/>
      <c r="E566" s="434"/>
      <c r="F566" s="434"/>
      <c r="G566" s="434"/>
      <c r="H566" s="434"/>
      <c r="I566" s="434"/>
      <c r="J566" s="434"/>
      <c r="K566" s="434"/>
      <c r="L566" s="434"/>
      <c r="M566" s="434"/>
      <c r="N566" s="434"/>
      <c r="O566" s="434"/>
      <c r="P566" s="434"/>
      <c r="Q566" s="434"/>
      <c r="R566" s="434"/>
      <c r="S566" s="434"/>
      <c r="T566" s="434"/>
      <c r="U566" s="434"/>
      <c r="V566" s="434"/>
      <c r="W566" s="434"/>
    </row>
    <row r="567">
      <c r="A567" s="434"/>
      <c r="B567" s="434"/>
      <c r="C567" s="434"/>
      <c r="D567" s="434"/>
      <c r="E567" s="434"/>
      <c r="F567" s="434"/>
      <c r="G567" s="434"/>
      <c r="H567" s="434"/>
      <c r="I567" s="434"/>
      <c r="J567" s="434"/>
      <c r="K567" s="434"/>
      <c r="L567" s="434"/>
      <c r="M567" s="434"/>
      <c r="N567" s="434"/>
      <c r="O567" s="434"/>
      <c r="P567" s="434"/>
      <c r="Q567" s="434"/>
      <c r="R567" s="434"/>
      <c r="S567" s="434"/>
      <c r="T567" s="434"/>
      <c r="U567" s="434"/>
      <c r="V567" s="434"/>
      <c r="W567" s="434"/>
    </row>
    <row r="568">
      <c r="A568" s="434"/>
      <c r="B568" s="434"/>
      <c r="C568" s="434"/>
      <c r="D568" s="434"/>
      <c r="E568" s="434"/>
      <c r="F568" s="434"/>
      <c r="G568" s="434"/>
      <c r="H568" s="434"/>
      <c r="I568" s="434"/>
      <c r="J568" s="434"/>
      <c r="K568" s="434"/>
      <c r="L568" s="434"/>
      <c r="M568" s="434"/>
      <c r="N568" s="434"/>
      <c r="O568" s="434"/>
      <c r="P568" s="434"/>
      <c r="Q568" s="434"/>
      <c r="R568" s="434"/>
      <c r="S568" s="434"/>
      <c r="T568" s="434"/>
      <c r="U568" s="434"/>
      <c r="V568" s="434"/>
      <c r="W568" s="434"/>
    </row>
    <row r="569">
      <c r="A569" s="434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</row>
    <row r="570">
      <c r="A570" s="434"/>
      <c r="B570" s="434"/>
      <c r="C570" s="434"/>
      <c r="D570" s="434"/>
      <c r="E570" s="434"/>
      <c r="F570" s="434"/>
      <c r="G570" s="434"/>
      <c r="H570" s="434"/>
      <c r="I570" s="434"/>
      <c r="J570" s="434"/>
      <c r="K570" s="434"/>
      <c r="L570" s="434"/>
      <c r="M570" s="434"/>
      <c r="N570" s="434"/>
      <c r="O570" s="434"/>
      <c r="P570" s="434"/>
      <c r="Q570" s="434"/>
      <c r="R570" s="434"/>
      <c r="S570" s="434"/>
      <c r="T570" s="434"/>
      <c r="U570" s="434"/>
      <c r="V570" s="434"/>
      <c r="W570" s="434"/>
    </row>
    <row r="571">
      <c r="A571" s="434"/>
      <c r="B571" s="434"/>
      <c r="C571" s="434"/>
      <c r="D571" s="434"/>
      <c r="E571" s="434"/>
      <c r="F571" s="434"/>
      <c r="G571" s="434"/>
      <c r="H571" s="434"/>
      <c r="I571" s="434"/>
      <c r="J571" s="434"/>
      <c r="K571" s="434"/>
      <c r="L571" s="434"/>
      <c r="M571" s="434"/>
      <c r="N571" s="434"/>
      <c r="O571" s="434"/>
      <c r="P571" s="434"/>
      <c r="Q571" s="434"/>
      <c r="R571" s="434"/>
      <c r="S571" s="434"/>
      <c r="T571" s="434"/>
      <c r="U571" s="434"/>
      <c r="V571" s="434"/>
      <c r="W571" s="434"/>
    </row>
    <row r="572">
      <c r="A572" s="434"/>
      <c r="B572" s="434"/>
      <c r="C572" s="434"/>
      <c r="D572" s="434"/>
      <c r="E572" s="434"/>
      <c r="F572" s="434"/>
      <c r="G572" s="434"/>
      <c r="H572" s="434"/>
      <c r="I572" s="434"/>
      <c r="J572" s="434"/>
      <c r="K572" s="434"/>
      <c r="L572" s="434"/>
      <c r="M572" s="434"/>
      <c r="N572" s="434"/>
      <c r="O572" s="434"/>
      <c r="P572" s="434"/>
      <c r="Q572" s="434"/>
      <c r="R572" s="434"/>
      <c r="S572" s="434"/>
      <c r="T572" s="434"/>
      <c r="U572" s="434"/>
      <c r="V572" s="434"/>
      <c r="W572" s="434"/>
    </row>
    <row r="573">
      <c r="A573" s="434"/>
      <c r="B573" s="434"/>
      <c r="C573" s="434"/>
      <c r="D573" s="434"/>
      <c r="E573" s="434"/>
      <c r="F573" s="434"/>
      <c r="G573" s="434"/>
      <c r="H573" s="434"/>
      <c r="I573" s="434"/>
      <c r="J573" s="434"/>
      <c r="K573" s="434"/>
      <c r="L573" s="434"/>
      <c r="M573" s="434"/>
      <c r="N573" s="434"/>
      <c r="O573" s="434"/>
      <c r="P573" s="434"/>
      <c r="Q573" s="434"/>
      <c r="R573" s="434"/>
      <c r="S573" s="434"/>
      <c r="T573" s="434"/>
      <c r="U573" s="434"/>
      <c r="V573" s="434"/>
      <c r="W573" s="434"/>
    </row>
    <row r="574">
      <c r="A574" s="434"/>
      <c r="B574" s="434"/>
      <c r="C574" s="434"/>
      <c r="D574" s="434"/>
      <c r="E574" s="434"/>
      <c r="F574" s="434"/>
      <c r="G574" s="434"/>
      <c r="H574" s="434"/>
      <c r="I574" s="434"/>
      <c r="J574" s="434"/>
      <c r="K574" s="434"/>
      <c r="L574" s="434"/>
      <c r="M574" s="434"/>
      <c r="N574" s="434"/>
      <c r="O574" s="434"/>
      <c r="P574" s="434"/>
      <c r="Q574" s="434"/>
      <c r="R574" s="434"/>
      <c r="S574" s="434"/>
      <c r="T574" s="434"/>
      <c r="U574" s="434"/>
      <c r="V574" s="434"/>
      <c r="W574" s="434"/>
    </row>
    <row r="575">
      <c r="A575" s="434"/>
      <c r="B575" s="434"/>
      <c r="C575" s="434"/>
      <c r="D575" s="434"/>
      <c r="E575" s="434"/>
      <c r="F575" s="434"/>
      <c r="G575" s="434"/>
      <c r="H575" s="434"/>
      <c r="I575" s="434"/>
      <c r="J575" s="434"/>
      <c r="K575" s="434"/>
      <c r="L575" s="434"/>
      <c r="M575" s="434"/>
      <c r="N575" s="434"/>
      <c r="O575" s="434"/>
      <c r="P575" s="434"/>
      <c r="Q575" s="434"/>
      <c r="R575" s="434"/>
      <c r="S575" s="434"/>
      <c r="T575" s="434"/>
      <c r="U575" s="434"/>
      <c r="V575" s="434"/>
      <c r="W575" s="434"/>
    </row>
    <row r="576">
      <c r="A576" s="434"/>
      <c r="B576" s="434"/>
      <c r="C576" s="434"/>
      <c r="D576" s="434"/>
      <c r="E576" s="434"/>
      <c r="F576" s="434"/>
      <c r="G576" s="434"/>
      <c r="H576" s="434"/>
      <c r="I576" s="434"/>
      <c r="J576" s="434"/>
      <c r="K576" s="434"/>
      <c r="L576" s="434"/>
      <c r="M576" s="434"/>
      <c r="N576" s="434"/>
      <c r="O576" s="434"/>
      <c r="P576" s="434"/>
      <c r="Q576" s="434"/>
      <c r="R576" s="434"/>
      <c r="S576" s="434"/>
      <c r="T576" s="434"/>
      <c r="U576" s="434"/>
      <c r="V576" s="434"/>
      <c r="W576" s="434"/>
    </row>
    <row r="577">
      <c r="A577" s="434"/>
      <c r="B577" s="434"/>
      <c r="C577" s="434"/>
      <c r="D577" s="434"/>
      <c r="E577" s="434"/>
      <c r="F577" s="434"/>
      <c r="G577" s="434"/>
      <c r="H577" s="434"/>
      <c r="I577" s="434"/>
      <c r="J577" s="434"/>
      <c r="K577" s="434"/>
      <c r="L577" s="434"/>
      <c r="M577" s="434"/>
      <c r="N577" s="434"/>
      <c r="O577" s="434"/>
      <c r="P577" s="434"/>
      <c r="Q577" s="434"/>
      <c r="R577" s="434"/>
      <c r="S577" s="434"/>
      <c r="T577" s="434"/>
      <c r="U577" s="434"/>
      <c r="V577" s="434"/>
      <c r="W577" s="434"/>
    </row>
    <row r="578">
      <c r="A578" s="434"/>
      <c r="B578" s="434"/>
      <c r="C578" s="434"/>
      <c r="D578" s="434"/>
      <c r="E578" s="434"/>
      <c r="F578" s="434"/>
      <c r="G578" s="434"/>
      <c r="H578" s="434"/>
      <c r="I578" s="434"/>
      <c r="J578" s="434"/>
      <c r="K578" s="434"/>
      <c r="L578" s="434"/>
      <c r="M578" s="434"/>
      <c r="N578" s="434"/>
      <c r="O578" s="434"/>
      <c r="P578" s="434"/>
      <c r="Q578" s="434"/>
      <c r="R578" s="434"/>
      <c r="S578" s="434"/>
      <c r="T578" s="434"/>
      <c r="U578" s="434"/>
      <c r="V578" s="434"/>
      <c r="W578" s="434"/>
    </row>
    <row r="579">
      <c r="A579" s="434"/>
      <c r="B579" s="434"/>
      <c r="C579" s="434"/>
      <c r="D579" s="434"/>
      <c r="E579" s="434"/>
      <c r="F579" s="434"/>
      <c r="G579" s="434"/>
      <c r="H579" s="434"/>
      <c r="I579" s="434"/>
      <c r="J579" s="434"/>
      <c r="K579" s="434"/>
      <c r="L579" s="434"/>
      <c r="M579" s="434"/>
      <c r="N579" s="434"/>
      <c r="O579" s="434"/>
      <c r="P579" s="434"/>
      <c r="Q579" s="434"/>
      <c r="R579" s="434"/>
      <c r="S579" s="434"/>
      <c r="T579" s="434"/>
      <c r="U579" s="434"/>
      <c r="V579" s="434"/>
      <c r="W579" s="434"/>
    </row>
    <row r="580">
      <c r="A580" s="434"/>
      <c r="B580" s="434"/>
      <c r="C580" s="434"/>
      <c r="D580" s="434"/>
      <c r="E580" s="434"/>
      <c r="F580" s="434"/>
      <c r="G580" s="434"/>
      <c r="H580" s="434"/>
      <c r="I580" s="434"/>
      <c r="J580" s="434"/>
      <c r="K580" s="434"/>
      <c r="L580" s="434"/>
      <c r="M580" s="434"/>
      <c r="N580" s="434"/>
      <c r="O580" s="434"/>
      <c r="P580" s="434"/>
      <c r="Q580" s="434"/>
      <c r="R580" s="434"/>
      <c r="S580" s="434"/>
      <c r="T580" s="434"/>
      <c r="U580" s="434"/>
      <c r="V580" s="434"/>
      <c r="W580" s="434"/>
    </row>
    <row r="581">
      <c r="A581" s="434"/>
      <c r="B581" s="434"/>
      <c r="C581" s="434"/>
      <c r="D581" s="434"/>
      <c r="E581" s="434"/>
      <c r="F581" s="434"/>
      <c r="G581" s="434"/>
      <c r="H581" s="434"/>
      <c r="I581" s="434"/>
      <c r="J581" s="434"/>
      <c r="K581" s="434"/>
      <c r="L581" s="434"/>
      <c r="M581" s="434"/>
      <c r="N581" s="434"/>
      <c r="O581" s="434"/>
      <c r="P581" s="434"/>
      <c r="Q581" s="434"/>
      <c r="R581" s="434"/>
      <c r="S581" s="434"/>
      <c r="T581" s="434"/>
      <c r="U581" s="434"/>
      <c r="V581" s="434"/>
      <c r="W581" s="434"/>
    </row>
    <row r="582">
      <c r="A582" s="434"/>
      <c r="B582" s="434"/>
      <c r="C582" s="434"/>
      <c r="D582" s="434"/>
      <c r="E582" s="434"/>
      <c r="F582" s="434"/>
      <c r="G582" s="434"/>
      <c r="H582" s="434"/>
      <c r="I582" s="434"/>
      <c r="J582" s="434"/>
      <c r="K582" s="434"/>
      <c r="L582" s="434"/>
      <c r="M582" s="434"/>
      <c r="N582" s="434"/>
      <c r="O582" s="434"/>
      <c r="P582" s="434"/>
      <c r="Q582" s="434"/>
      <c r="R582" s="434"/>
      <c r="S582" s="434"/>
      <c r="T582" s="434"/>
      <c r="U582" s="434"/>
      <c r="V582" s="434"/>
      <c r="W582" s="434"/>
    </row>
    <row r="583">
      <c r="A583" s="434"/>
      <c r="B583" s="434"/>
      <c r="C583" s="434"/>
      <c r="D583" s="434"/>
      <c r="E583" s="434"/>
      <c r="F583" s="434"/>
      <c r="G583" s="434"/>
      <c r="H583" s="434"/>
      <c r="I583" s="434"/>
      <c r="J583" s="434"/>
      <c r="K583" s="434"/>
      <c r="L583" s="434"/>
      <c r="M583" s="434"/>
      <c r="N583" s="434"/>
      <c r="O583" s="434"/>
      <c r="P583" s="434"/>
      <c r="Q583" s="434"/>
      <c r="R583" s="434"/>
      <c r="S583" s="434"/>
      <c r="T583" s="434"/>
      <c r="U583" s="434"/>
      <c r="V583" s="434"/>
      <c r="W583" s="434"/>
    </row>
    <row r="584">
      <c r="A584" s="434"/>
      <c r="B584" s="434"/>
      <c r="C584" s="434"/>
      <c r="D584" s="434"/>
      <c r="E584" s="434"/>
      <c r="F584" s="434"/>
      <c r="G584" s="434"/>
      <c r="H584" s="434"/>
      <c r="I584" s="434"/>
      <c r="J584" s="434"/>
      <c r="K584" s="434"/>
      <c r="L584" s="434"/>
      <c r="M584" s="434"/>
      <c r="N584" s="434"/>
      <c r="O584" s="434"/>
      <c r="P584" s="434"/>
      <c r="Q584" s="434"/>
      <c r="R584" s="434"/>
      <c r="S584" s="434"/>
      <c r="T584" s="434"/>
      <c r="U584" s="434"/>
      <c r="V584" s="434"/>
      <c r="W584" s="434"/>
    </row>
    <row r="585">
      <c r="A585" s="434"/>
      <c r="B585" s="434"/>
      <c r="C585" s="434"/>
      <c r="D585" s="434"/>
      <c r="E585" s="434"/>
      <c r="F585" s="434"/>
      <c r="G585" s="434"/>
      <c r="H585" s="434"/>
      <c r="I585" s="434"/>
      <c r="J585" s="434"/>
      <c r="K585" s="434"/>
      <c r="L585" s="434"/>
      <c r="M585" s="434"/>
      <c r="N585" s="434"/>
      <c r="O585" s="434"/>
      <c r="P585" s="434"/>
      <c r="Q585" s="434"/>
      <c r="R585" s="434"/>
      <c r="S585" s="434"/>
      <c r="T585" s="434"/>
      <c r="U585" s="434"/>
      <c r="V585" s="434"/>
      <c r="W585" s="434"/>
    </row>
    <row r="586">
      <c r="A586" s="434"/>
      <c r="B586" s="434"/>
      <c r="C586" s="434"/>
      <c r="D586" s="434"/>
      <c r="E586" s="434"/>
      <c r="F586" s="434"/>
      <c r="G586" s="434"/>
      <c r="H586" s="434"/>
      <c r="I586" s="434"/>
      <c r="J586" s="434"/>
      <c r="K586" s="434"/>
      <c r="L586" s="434"/>
      <c r="M586" s="434"/>
      <c r="N586" s="434"/>
      <c r="O586" s="434"/>
      <c r="P586" s="434"/>
      <c r="Q586" s="434"/>
      <c r="R586" s="434"/>
      <c r="S586" s="434"/>
      <c r="T586" s="434"/>
      <c r="U586" s="434"/>
      <c r="V586" s="434"/>
      <c r="W586" s="434"/>
    </row>
    <row r="587">
      <c r="A587" s="434"/>
      <c r="B587" s="434"/>
      <c r="C587" s="434"/>
      <c r="D587" s="434"/>
      <c r="E587" s="434"/>
      <c r="F587" s="434"/>
      <c r="G587" s="434"/>
      <c r="H587" s="434"/>
      <c r="I587" s="434"/>
      <c r="J587" s="434"/>
      <c r="K587" s="434"/>
      <c r="L587" s="434"/>
      <c r="M587" s="434"/>
      <c r="N587" s="434"/>
      <c r="O587" s="434"/>
      <c r="P587" s="434"/>
      <c r="Q587" s="434"/>
      <c r="R587" s="434"/>
      <c r="S587" s="434"/>
      <c r="T587" s="434"/>
      <c r="U587" s="434"/>
      <c r="V587" s="434"/>
      <c r="W587" s="434"/>
    </row>
    <row r="588">
      <c r="A588" s="434"/>
      <c r="B588" s="434"/>
      <c r="C588" s="434"/>
      <c r="D588" s="434"/>
      <c r="E588" s="434"/>
      <c r="F588" s="434"/>
      <c r="G588" s="434"/>
      <c r="H588" s="434"/>
      <c r="I588" s="434"/>
      <c r="J588" s="434"/>
      <c r="K588" s="434"/>
      <c r="L588" s="434"/>
      <c r="M588" s="434"/>
      <c r="N588" s="434"/>
      <c r="O588" s="434"/>
      <c r="P588" s="434"/>
      <c r="Q588" s="434"/>
      <c r="R588" s="434"/>
      <c r="S588" s="434"/>
      <c r="T588" s="434"/>
      <c r="U588" s="434"/>
      <c r="V588" s="434"/>
      <c r="W588" s="434"/>
    </row>
    <row r="589">
      <c r="A589" s="434"/>
      <c r="B589" s="434"/>
      <c r="C589" s="434"/>
      <c r="D589" s="434"/>
      <c r="E589" s="434"/>
      <c r="F589" s="434"/>
      <c r="G589" s="434"/>
      <c r="H589" s="434"/>
      <c r="I589" s="434"/>
      <c r="J589" s="434"/>
      <c r="K589" s="434"/>
      <c r="L589" s="434"/>
      <c r="M589" s="434"/>
      <c r="N589" s="434"/>
      <c r="O589" s="434"/>
      <c r="P589" s="434"/>
      <c r="Q589" s="434"/>
      <c r="R589" s="434"/>
      <c r="S589" s="434"/>
      <c r="T589" s="434"/>
      <c r="U589" s="434"/>
      <c r="V589" s="434"/>
      <c r="W589" s="434"/>
    </row>
    <row r="590">
      <c r="A590" s="434"/>
      <c r="B590" s="434"/>
      <c r="C590" s="434"/>
      <c r="D590" s="434"/>
      <c r="E590" s="434"/>
      <c r="F590" s="434"/>
      <c r="G590" s="434"/>
      <c r="H590" s="434"/>
      <c r="I590" s="434"/>
      <c r="J590" s="434"/>
      <c r="K590" s="434"/>
      <c r="L590" s="434"/>
      <c r="M590" s="434"/>
      <c r="N590" s="434"/>
      <c r="O590" s="434"/>
      <c r="P590" s="434"/>
      <c r="Q590" s="434"/>
      <c r="R590" s="434"/>
      <c r="S590" s="434"/>
      <c r="T590" s="434"/>
      <c r="U590" s="434"/>
      <c r="V590" s="434"/>
      <c r="W590" s="434"/>
    </row>
    <row r="591">
      <c r="A591" s="434"/>
      <c r="B591" s="434"/>
      <c r="C591" s="434"/>
      <c r="D591" s="434"/>
      <c r="E591" s="434"/>
      <c r="F591" s="434"/>
      <c r="G591" s="434"/>
      <c r="H591" s="434"/>
      <c r="I591" s="434"/>
      <c r="J591" s="434"/>
      <c r="K591" s="434"/>
      <c r="L591" s="434"/>
      <c r="M591" s="434"/>
      <c r="N591" s="434"/>
      <c r="O591" s="434"/>
      <c r="P591" s="434"/>
      <c r="Q591" s="434"/>
      <c r="R591" s="434"/>
      <c r="S591" s="434"/>
      <c r="T591" s="434"/>
      <c r="U591" s="434"/>
      <c r="V591" s="434"/>
      <c r="W591" s="434"/>
    </row>
    <row r="592">
      <c r="A592" s="434"/>
      <c r="B592" s="434"/>
      <c r="C592" s="434"/>
      <c r="D592" s="434"/>
      <c r="E592" s="434"/>
      <c r="F592" s="434"/>
      <c r="G592" s="434"/>
      <c r="H592" s="434"/>
      <c r="I592" s="434"/>
      <c r="J592" s="434"/>
      <c r="K592" s="434"/>
      <c r="L592" s="434"/>
      <c r="M592" s="434"/>
      <c r="N592" s="434"/>
      <c r="O592" s="434"/>
      <c r="P592" s="434"/>
      <c r="Q592" s="434"/>
      <c r="R592" s="434"/>
      <c r="S592" s="434"/>
      <c r="T592" s="434"/>
      <c r="U592" s="434"/>
      <c r="V592" s="434"/>
      <c r="W592" s="434"/>
    </row>
    <row r="593">
      <c r="A593" s="434"/>
      <c r="B593" s="434"/>
      <c r="C593" s="434"/>
      <c r="D593" s="434"/>
      <c r="E593" s="434"/>
      <c r="F593" s="434"/>
      <c r="G593" s="434"/>
      <c r="H593" s="434"/>
      <c r="I593" s="434"/>
      <c r="J593" s="434"/>
      <c r="K593" s="434"/>
      <c r="L593" s="434"/>
      <c r="M593" s="434"/>
      <c r="N593" s="434"/>
      <c r="O593" s="434"/>
      <c r="P593" s="434"/>
      <c r="Q593" s="434"/>
      <c r="R593" s="434"/>
      <c r="S593" s="434"/>
      <c r="T593" s="434"/>
      <c r="U593" s="434"/>
      <c r="V593" s="434"/>
      <c r="W593" s="434"/>
    </row>
    <row r="594">
      <c r="A594" s="434"/>
      <c r="B594" s="434"/>
      <c r="C594" s="434"/>
      <c r="D594" s="434"/>
      <c r="E594" s="434"/>
      <c r="F594" s="434"/>
      <c r="G594" s="434"/>
      <c r="H594" s="434"/>
      <c r="I594" s="434"/>
      <c r="J594" s="434"/>
      <c r="K594" s="434"/>
      <c r="L594" s="434"/>
      <c r="M594" s="434"/>
      <c r="N594" s="434"/>
      <c r="O594" s="434"/>
      <c r="P594" s="434"/>
      <c r="Q594" s="434"/>
      <c r="R594" s="434"/>
      <c r="S594" s="434"/>
      <c r="T594" s="434"/>
      <c r="U594" s="434"/>
      <c r="V594" s="434"/>
      <c r="W594" s="434"/>
    </row>
    <row r="595">
      <c r="A595" s="434"/>
      <c r="B595" s="434"/>
      <c r="C595" s="434"/>
      <c r="D595" s="434"/>
      <c r="E595" s="434"/>
      <c r="F595" s="434"/>
      <c r="G595" s="434"/>
      <c r="H595" s="434"/>
      <c r="I595" s="434"/>
      <c r="J595" s="434"/>
      <c r="K595" s="434"/>
      <c r="L595" s="434"/>
      <c r="M595" s="434"/>
      <c r="N595" s="434"/>
      <c r="O595" s="434"/>
      <c r="P595" s="434"/>
      <c r="Q595" s="434"/>
      <c r="R595" s="434"/>
      <c r="S595" s="434"/>
      <c r="T595" s="434"/>
      <c r="U595" s="434"/>
      <c r="V595" s="434"/>
      <c r="W595" s="434"/>
    </row>
    <row r="596">
      <c r="A596" s="434"/>
      <c r="B596" s="434"/>
      <c r="C596" s="434"/>
      <c r="D596" s="434"/>
      <c r="E596" s="434"/>
      <c r="F596" s="434"/>
      <c r="G596" s="434"/>
      <c r="H596" s="434"/>
      <c r="I596" s="434"/>
      <c r="J596" s="434"/>
      <c r="K596" s="434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  <c r="V596" s="434"/>
      <c r="W596" s="434"/>
    </row>
    <row r="597">
      <c r="A597" s="434"/>
      <c r="B597" s="434"/>
      <c r="C597" s="434"/>
      <c r="D597" s="434"/>
      <c r="E597" s="434"/>
      <c r="F597" s="434"/>
      <c r="G597" s="434"/>
      <c r="H597" s="434"/>
      <c r="I597" s="434"/>
      <c r="J597" s="434"/>
      <c r="K597" s="434"/>
      <c r="L597" s="434"/>
      <c r="M597" s="434"/>
      <c r="N597" s="434"/>
      <c r="O597" s="434"/>
      <c r="P597" s="434"/>
      <c r="Q597" s="434"/>
      <c r="R597" s="434"/>
      <c r="S597" s="434"/>
      <c r="T597" s="434"/>
      <c r="U597" s="434"/>
      <c r="V597" s="434"/>
      <c r="W597" s="434"/>
    </row>
    <row r="598">
      <c r="A598" s="434"/>
      <c r="B598" s="434"/>
      <c r="C598" s="434"/>
      <c r="D598" s="434"/>
      <c r="E598" s="434"/>
      <c r="F598" s="434"/>
      <c r="G598" s="434"/>
      <c r="H598" s="434"/>
      <c r="I598" s="434"/>
      <c r="J598" s="434"/>
      <c r="K598" s="434"/>
      <c r="L598" s="434"/>
      <c r="M598" s="434"/>
      <c r="N598" s="434"/>
      <c r="O598" s="434"/>
      <c r="P598" s="434"/>
      <c r="Q598" s="434"/>
      <c r="R598" s="434"/>
      <c r="S598" s="434"/>
      <c r="T598" s="434"/>
      <c r="U598" s="434"/>
      <c r="V598" s="434"/>
      <c r="W598" s="434"/>
    </row>
    <row r="599">
      <c r="A599" s="434"/>
      <c r="B599" s="434"/>
      <c r="C599" s="434"/>
      <c r="D599" s="434"/>
      <c r="E599" s="434"/>
      <c r="F599" s="434"/>
      <c r="G599" s="434"/>
      <c r="H599" s="434"/>
      <c r="I599" s="434"/>
      <c r="J599" s="434"/>
      <c r="K599" s="434"/>
      <c r="L599" s="434"/>
      <c r="M599" s="434"/>
      <c r="N599" s="434"/>
      <c r="O599" s="434"/>
      <c r="P599" s="434"/>
      <c r="Q599" s="434"/>
      <c r="R599" s="434"/>
      <c r="S599" s="434"/>
      <c r="T599" s="434"/>
      <c r="U599" s="434"/>
      <c r="V599" s="434"/>
      <c r="W599" s="434"/>
    </row>
    <row r="600">
      <c r="A600" s="434"/>
      <c r="B600" s="434"/>
      <c r="C600" s="434"/>
      <c r="D600" s="434"/>
      <c r="E600" s="434"/>
      <c r="F600" s="434"/>
      <c r="G600" s="434"/>
      <c r="H600" s="434"/>
      <c r="I600" s="434"/>
      <c r="J600" s="434"/>
      <c r="K600" s="434"/>
      <c r="L600" s="434"/>
      <c r="M600" s="434"/>
      <c r="N600" s="434"/>
      <c r="O600" s="434"/>
      <c r="P600" s="434"/>
      <c r="Q600" s="434"/>
      <c r="R600" s="434"/>
      <c r="S600" s="434"/>
      <c r="T600" s="434"/>
      <c r="U600" s="434"/>
      <c r="V600" s="434"/>
      <c r="W600" s="434"/>
    </row>
    <row r="601">
      <c r="A601" s="434"/>
      <c r="B601" s="434"/>
      <c r="C601" s="434"/>
      <c r="D601" s="434"/>
      <c r="E601" s="434"/>
      <c r="F601" s="434"/>
      <c r="G601" s="434"/>
      <c r="H601" s="434"/>
      <c r="I601" s="434"/>
      <c r="J601" s="434"/>
      <c r="K601" s="434"/>
      <c r="L601" s="434"/>
      <c r="M601" s="434"/>
      <c r="N601" s="434"/>
      <c r="O601" s="434"/>
      <c r="P601" s="434"/>
      <c r="Q601" s="434"/>
      <c r="R601" s="434"/>
      <c r="S601" s="434"/>
      <c r="T601" s="434"/>
      <c r="U601" s="434"/>
      <c r="V601" s="434"/>
      <c r="W601" s="434"/>
    </row>
    <row r="602">
      <c r="A602" s="434"/>
      <c r="B602" s="434"/>
      <c r="C602" s="434"/>
      <c r="D602" s="434"/>
      <c r="E602" s="434"/>
      <c r="F602" s="434"/>
      <c r="G602" s="434"/>
      <c r="H602" s="434"/>
      <c r="I602" s="434"/>
      <c r="J602" s="434"/>
      <c r="K602" s="434"/>
      <c r="L602" s="434"/>
      <c r="M602" s="434"/>
      <c r="N602" s="434"/>
      <c r="O602" s="434"/>
      <c r="P602" s="434"/>
      <c r="Q602" s="434"/>
      <c r="R602" s="434"/>
      <c r="S602" s="434"/>
      <c r="T602" s="434"/>
      <c r="U602" s="434"/>
      <c r="V602" s="434"/>
      <c r="W602" s="434"/>
    </row>
    <row r="603">
      <c r="A603" s="434"/>
      <c r="B603" s="434"/>
      <c r="C603" s="434"/>
      <c r="D603" s="434"/>
      <c r="E603" s="434"/>
      <c r="F603" s="434"/>
      <c r="G603" s="434"/>
      <c r="H603" s="434"/>
      <c r="I603" s="434"/>
      <c r="J603" s="434"/>
      <c r="K603" s="434"/>
      <c r="L603" s="434"/>
      <c r="M603" s="434"/>
      <c r="N603" s="434"/>
      <c r="O603" s="434"/>
      <c r="P603" s="434"/>
      <c r="Q603" s="434"/>
      <c r="R603" s="434"/>
      <c r="S603" s="434"/>
      <c r="T603" s="434"/>
      <c r="U603" s="434"/>
      <c r="V603" s="434"/>
      <c r="W603" s="434"/>
    </row>
    <row r="604">
      <c r="A604" s="434"/>
      <c r="B604" s="434"/>
      <c r="C604" s="434"/>
      <c r="D604" s="434"/>
      <c r="E604" s="434"/>
      <c r="F604" s="434"/>
      <c r="G604" s="434"/>
      <c r="H604" s="434"/>
      <c r="I604" s="434"/>
      <c r="J604" s="434"/>
      <c r="K604" s="434"/>
      <c r="L604" s="434"/>
      <c r="M604" s="434"/>
      <c r="N604" s="434"/>
      <c r="O604" s="434"/>
      <c r="P604" s="434"/>
      <c r="Q604" s="434"/>
      <c r="R604" s="434"/>
      <c r="S604" s="434"/>
      <c r="T604" s="434"/>
      <c r="U604" s="434"/>
      <c r="V604" s="434"/>
      <c r="W604" s="434"/>
    </row>
    <row r="605">
      <c r="A605" s="434"/>
      <c r="B605" s="434"/>
      <c r="C605" s="434"/>
      <c r="D605" s="434"/>
      <c r="E605" s="434"/>
      <c r="F605" s="434"/>
      <c r="G605" s="434"/>
      <c r="H605" s="434"/>
      <c r="I605" s="434"/>
      <c r="J605" s="434"/>
      <c r="K605" s="434"/>
      <c r="L605" s="434"/>
      <c r="M605" s="434"/>
      <c r="N605" s="434"/>
      <c r="O605" s="434"/>
      <c r="P605" s="434"/>
      <c r="Q605" s="434"/>
      <c r="R605" s="434"/>
      <c r="S605" s="434"/>
      <c r="T605" s="434"/>
      <c r="U605" s="434"/>
      <c r="V605" s="434"/>
      <c r="W605" s="434"/>
    </row>
    <row r="606">
      <c r="A606" s="434"/>
      <c r="B606" s="434"/>
      <c r="C606" s="434"/>
      <c r="D606" s="434"/>
      <c r="E606" s="434"/>
      <c r="F606" s="434"/>
      <c r="G606" s="434"/>
      <c r="H606" s="434"/>
      <c r="I606" s="434"/>
      <c r="J606" s="434"/>
      <c r="K606" s="434"/>
      <c r="L606" s="434"/>
      <c r="M606" s="434"/>
      <c r="N606" s="434"/>
      <c r="O606" s="434"/>
      <c r="P606" s="434"/>
      <c r="Q606" s="434"/>
      <c r="R606" s="434"/>
      <c r="S606" s="434"/>
      <c r="T606" s="434"/>
      <c r="U606" s="434"/>
      <c r="V606" s="434"/>
      <c r="W606" s="434"/>
    </row>
    <row r="607">
      <c r="A607" s="434"/>
      <c r="B607" s="434"/>
      <c r="C607" s="434"/>
      <c r="D607" s="434"/>
      <c r="E607" s="434"/>
      <c r="F607" s="434"/>
      <c r="G607" s="434"/>
      <c r="H607" s="434"/>
      <c r="I607" s="434"/>
      <c r="J607" s="434"/>
      <c r="K607" s="434"/>
      <c r="L607" s="434"/>
      <c r="M607" s="434"/>
      <c r="N607" s="434"/>
      <c r="O607" s="434"/>
      <c r="P607" s="434"/>
      <c r="Q607" s="434"/>
      <c r="R607" s="434"/>
      <c r="S607" s="434"/>
      <c r="T607" s="434"/>
      <c r="U607" s="434"/>
      <c r="V607" s="434"/>
      <c r="W607" s="434"/>
    </row>
    <row r="608">
      <c r="A608" s="434"/>
      <c r="B608" s="434"/>
      <c r="C608" s="434"/>
      <c r="D608" s="434"/>
      <c r="E608" s="434"/>
      <c r="F608" s="434"/>
      <c r="G608" s="434"/>
      <c r="H608" s="434"/>
      <c r="I608" s="434"/>
      <c r="J608" s="434"/>
      <c r="K608" s="434"/>
      <c r="L608" s="434"/>
      <c r="M608" s="434"/>
      <c r="N608" s="434"/>
      <c r="O608" s="434"/>
      <c r="P608" s="434"/>
      <c r="Q608" s="434"/>
      <c r="R608" s="434"/>
      <c r="S608" s="434"/>
      <c r="T608" s="434"/>
      <c r="U608" s="434"/>
      <c r="V608" s="434"/>
      <c r="W608" s="434"/>
    </row>
    <row r="609">
      <c r="A609" s="434"/>
      <c r="B609" s="434"/>
      <c r="C609" s="434"/>
      <c r="D609" s="434"/>
      <c r="E609" s="434"/>
      <c r="F609" s="434"/>
      <c r="G609" s="434"/>
      <c r="H609" s="434"/>
      <c r="I609" s="434"/>
      <c r="J609" s="434"/>
      <c r="K609" s="434"/>
      <c r="L609" s="434"/>
      <c r="M609" s="434"/>
      <c r="N609" s="434"/>
      <c r="O609" s="434"/>
      <c r="P609" s="434"/>
      <c r="Q609" s="434"/>
      <c r="R609" s="434"/>
      <c r="S609" s="434"/>
      <c r="T609" s="434"/>
      <c r="U609" s="434"/>
      <c r="V609" s="434"/>
      <c r="W609" s="434"/>
    </row>
    <row r="610">
      <c r="A610" s="434"/>
      <c r="B610" s="434"/>
      <c r="C610" s="434"/>
      <c r="D610" s="434"/>
      <c r="E610" s="434"/>
      <c r="F610" s="434"/>
      <c r="G610" s="434"/>
      <c r="H610" s="434"/>
      <c r="I610" s="434"/>
      <c r="J610" s="434"/>
      <c r="K610" s="434"/>
      <c r="L610" s="434"/>
      <c r="M610" s="434"/>
      <c r="N610" s="434"/>
      <c r="O610" s="434"/>
      <c r="P610" s="434"/>
      <c r="Q610" s="434"/>
      <c r="R610" s="434"/>
      <c r="S610" s="434"/>
      <c r="T610" s="434"/>
      <c r="U610" s="434"/>
      <c r="V610" s="434"/>
      <c r="W610" s="434"/>
    </row>
    <row r="611">
      <c r="A611" s="434"/>
      <c r="B611" s="434"/>
      <c r="C611" s="434"/>
      <c r="D611" s="434"/>
      <c r="E611" s="434"/>
      <c r="F611" s="434"/>
      <c r="G611" s="434"/>
      <c r="H611" s="434"/>
      <c r="I611" s="434"/>
      <c r="J611" s="434"/>
      <c r="K611" s="434"/>
      <c r="L611" s="434"/>
      <c r="M611" s="434"/>
      <c r="N611" s="434"/>
      <c r="O611" s="434"/>
      <c r="P611" s="434"/>
      <c r="Q611" s="434"/>
      <c r="R611" s="434"/>
      <c r="S611" s="434"/>
      <c r="T611" s="434"/>
      <c r="U611" s="434"/>
      <c r="V611" s="434"/>
      <c r="W611" s="434"/>
    </row>
    <row r="612">
      <c r="A612" s="434"/>
      <c r="B612" s="434"/>
      <c r="C612" s="434"/>
      <c r="D612" s="434"/>
      <c r="E612" s="434"/>
      <c r="F612" s="434"/>
      <c r="G612" s="434"/>
      <c r="H612" s="434"/>
      <c r="I612" s="434"/>
      <c r="J612" s="434"/>
      <c r="K612" s="434"/>
      <c r="L612" s="434"/>
      <c r="M612" s="434"/>
      <c r="N612" s="434"/>
      <c r="O612" s="434"/>
      <c r="P612" s="434"/>
      <c r="Q612" s="434"/>
      <c r="R612" s="434"/>
      <c r="S612" s="434"/>
      <c r="T612" s="434"/>
      <c r="U612" s="434"/>
      <c r="V612" s="434"/>
      <c r="W612" s="434"/>
    </row>
    <row r="613">
      <c r="A613" s="434"/>
      <c r="B613" s="434"/>
      <c r="C613" s="434"/>
      <c r="D613" s="434"/>
      <c r="E613" s="434"/>
      <c r="F613" s="434"/>
      <c r="G613" s="434"/>
      <c r="H613" s="434"/>
      <c r="I613" s="434"/>
      <c r="J613" s="434"/>
      <c r="K613" s="434"/>
      <c r="L613" s="434"/>
      <c r="M613" s="434"/>
      <c r="N613" s="434"/>
      <c r="O613" s="434"/>
      <c r="P613" s="434"/>
      <c r="Q613" s="434"/>
      <c r="R613" s="434"/>
      <c r="S613" s="434"/>
      <c r="T613" s="434"/>
      <c r="U613" s="434"/>
      <c r="V613" s="434"/>
      <c r="W613" s="434"/>
    </row>
    <row r="614">
      <c r="A614" s="434"/>
      <c r="B614" s="434"/>
      <c r="C614" s="434"/>
      <c r="D614" s="434"/>
      <c r="E614" s="434"/>
      <c r="F614" s="434"/>
      <c r="G614" s="434"/>
      <c r="H614" s="434"/>
      <c r="I614" s="434"/>
      <c r="J614" s="434"/>
      <c r="K614" s="434"/>
      <c r="L614" s="434"/>
      <c r="M614" s="434"/>
      <c r="N614" s="434"/>
      <c r="O614" s="434"/>
      <c r="P614" s="434"/>
      <c r="Q614" s="434"/>
      <c r="R614" s="434"/>
      <c r="S614" s="434"/>
      <c r="T614" s="434"/>
      <c r="U614" s="434"/>
      <c r="V614" s="434"/>
      <c r="W614" s="434"/>
    </row>
    <row r="615">
      <c r="A615" s="434"/>
      <c r="B615" s="434"/>
      <c r="C615" s="434"/>
      <c r="D615" s="434"/>
      <c r="E615" s="434"/>
      <c r="F615" s="434"/>
      <c r="G615" s="434"/>
      <c r="H615" s="434"/>
      <c r="I615" s="434"/>
      <c r="J615" s="434"/>
      <c r="K615" s="434"/>
      <c r="L615" s="434"/>
      <c r="M615" s="434"/>
      <c r="N615" s="434"/>
      <c r="O615" s="434"/>
      <c r="P615" s="434"/>
      <c r="Q615" s="434"/>
      <c r="R615" s="434"/>
      <c r="S615" s="434"/>
      <c r="T615" s="434"/>
      <c r="U615" s="434"/>
      <c r="V615" s="434"/>
      <c r="W615" s="434"/>
    </row>
    <row r="616">
      <c r="A616" s="434"/>
      <c r="B616" s="434"/>
      <c r="C616" s="434"/>
      <c r="D616" s="434"/>
      <c r="E616" s="434"/>
      <c r="F616" s="434"/>
      <c r="G616" s="434"/>
      <c r="H616" s="434"/>
      <c r="I616" s="434"/>
      <c r="J616" s="434"/>
      <c r="K616" s="434"/>
      <c r="L616" s="434"/>
      <c r="M616" s="434"/>
      <c r="N616" s="434"/>
      <c r="O616" s="434"/>
      <c r="P616" s="434"/>
      <c r="Q616" s="434"/>
      <c r="R616" s="434"/>
      <c r="S616" s="434"/>
      <c r="T616" s="434"/>
      <c r="U616" s="434"/>
      <c r="V616" s="434"/>
      <c r="W616" s="434"/>
    </row>
    <row r="617">
      <c r="A617" s="434"/>
      <c r="B617" s="434"/>
      <c r="C617" s="434"/>
      <c r="D617" s="434"/>
      <c r="E617" s="434"/>
      <c r="F617" s="434"/>
      <c r="G617" s="434"/>
      <c r="H617" s="434"/>
      <c r="I617" s="434"/>
      <c r="J617" s="434"/>
      <c r="K617" s="434"/>
      <c r="L617" s="434"/>
      <c r="M617" s="434"/>
      <c r="N617" s="434"/>
      <c r="O617" s="434"/>
      <c r="P617" s="434"/>
      <c r="Q617" s="434"/>
      <c r="R617" s="434"/>
      <c r="S617" s="434"/>
      <c r="T617" s="434"/>
      <c r="U617" s="434"/>
      <c r="V617" s="434"/>
      <c r="W617" s="434"/>
    </row>
    <row r="618">
      <c r="A618" s="434"/>
      <c r="B618" s="434"/>
      <c r="C618" s="434"/>
      <c r="D618" s="434"/>
      <c r="E618" s="434"/>
      <c r="F618" s="434"/>
      <c r="G618" s="434"/>
      <c r="H618" s="434"/>
      <c r="I618" s="434"/>
      <c r="J618" s="434"/>
      <c r="K618" s="434"/>
      <c r="L618" s="434"/>
      <c r="M618" s="434"/>
      <c r="N618" s="434"/>
      <c r="O618" s="434"/>
      <c r="P618" s="434"/>
      <c r="Q618" s="434"/>
      <c r="R618" s="434"/>
      <c r="S618" s="434"/>
      <c r="T618" s="434"/>
      <c r="U618" s="434"/>
      <c r="V618" s="434"/>
      <c r="W618" s="434"/>
    </row>
    <row r="619">
      <c r="A619" s="434"/>
      <c r="B619" s="434"/>
      <c r="C619" s="434"/>
      <c r="D619" s="434"/>
      <c r="E619" s="434"/>
      <c r="F619" s="434"/>
      <c r="G619" s="434"/>
      <c r="H619" s="434"/>
      <c r="I619" s="434"/>
      <c r="J619" s="434"/>
      <c r="K619" s="434"/>
      <c r="L619" s="434"/>
      <c r="M619" s="434"/>
      <c r="N619" s="434"/>
      <c r="O619" s="434"/>
      <c r="P619" s="434"/>
      <c r="Q619" s="434"/>
      <c r="R619" s="434"/>
      <c r="S619" s="434"/>
      <c r="T619" s="434"/>
      <c r="U619" s="434"/>
      <c r="V619" s="434"/>
      <c r="W619" s="434"/>
    </row>
    <row r="620">
      <c r="A620" s="434"/>
      <c r="B620" s="434"/>
      <c r="C620" s="434"/>
      <c r="D620" s="434"/>
      <c r="E620" s="434"/>
      <c r="F620" s="434"/>
      <c r="G620" s="434"/>
      <c r="H620" s="434"/>
      <c r="I620" s="434"/>
      <c r="J620" s="434"/>
      <c r="K620" s="434"/>
      <c r="L620" s="434"/>
      <c r="M620" s="434"/>
      <c r="N620" s="434"/>
      <c r="O620" s="434"/>
      <c r="P620" s="434"/>
      <c r="Q620" s="434"/>
      <c r="R620" s="434"/>
      <c r="S620" s="434"/>
      <c r="T620" s="434"/>
      <c r="U620" s="434"/>
      <c r="V620" s="434"/>
      <c r="W620" s="434"/>
    </row>
    <row r="621">
      <c r="A621" s="434"/>
      <c r="B621" s="434"/>
      <c r="C621" s="434"/>
      <c r="D621" s="434"/>
      <c r="E621" s="434"/>
      <c r="F621" s="434"/>
      <c r="G621" s="434"/>
      <c r="H621" s="434"/>
      <c r="I621" s="434"/>
      <c r="J621" s="434"/>
      <c r="K621" s="434"/>
      <c r="L621" s="434"/>
      <c r="M621" s="434"/>
      <c r="N621" s="434"/>
      <c r="O621" s="434"/>
      <c r="P621" s="434"/>
      <c r="Q621" s="434"/>
      <c r="R621" s="434"/>
      <c r="S621" s="434"/>
      <c r="T621" s="434"/>
      <c r="U621" s="434"/>
      <c r="V621" s="434"/>
      <c r="W621" s="434"/>
    </row>
    <row r="622">
      <c r="A622" s="434"/>
      <c r="B622" s="434"/>
      <c r="C622" s="434"/>
      <c r="D622" s="434"/>
      <c r="E622" s="434"/>
      <c r="F622" s="434"/>
      <c r="G622" s="434"/>
      <c r="H622" s="434"/>
      <c r="I622" s="434"/>
      <c r="J622" s="434"/>
      <c r="K622" s="434"/>
      <c r="L622" s="434"/>
      <c r="M622" s="434"/>
      <c r="N622" s="434"/>
      <c r="O622" s="434"/>
      <c r="P622" s="434"/>
      <c r="Q622" s="434"/>
      <c r="R622" s="434"/>
      <c r="S622" s="434"/>
      <c r="T622" s="434"/>
      <c r="U622" s="434"/>
      <c r="V622" s="434"/>
      <c r="W622" s="434"/>
    </row>
    <row r="623">
      <c r="A623" s="434"/>
      <c r="B623" s="434"/>
      <c r="C623" s="434"/>
      <c r="D623" s="434"/>
      <c r="E623" s="434"/>
      <c r="F623" s="434"/>
      <c r="G623" s="434"/>
      <c r="H623" s="434"/>
      <c r="I623" s="434"/>
      <c r="J623" s="434"/>
      <c r="K623" s="434"/>
      <c r="L623" s="434"/>
      <c r="M623" s="434"/>
      <c r="N623" s="434"/>
      <c r="O623" s="434"/>
      <c r="P623" s="434"/>
      <c r="Q623" s="434"/>
      <c r="R623" s="434"/>
      <c r="S623" s="434"/>
      <c r="T623" s="434"/>
      <c r="U623" s="434"/>
      <c r="V623" s="434"/>
      <c r="W623" s="434"/>
    </row>
    <row r="624">
      <c r="A624" s="434"/>
      <c r="B624" s="434"/>
      <c r="C624" s="434"/>
      <c r="D624" s="434"/>
      <c r="E624" s="434"/>
      <c r="F624" s="434"/>
      <c r="G624" s="434"/>
      <c r="H624" s="434"/>
      <c r="I624" s="434"/>
      <c r="J624" s="434"/>
      <c r="K624" s="434"/>
      <c r="L624" s="434"/>
      <c r="M624" s="434"/>
      <c r="N624" s="434"/>
      <c r="O624" s="434"/>
      <c r="P624" s="434"/>
      <c r="Q624" s="434"/>
      <c r="R624" s="434"/>
      <c r="S624" s="434"/>
      <c r="T624" s="434"/>
      <c r="U624" s="434"/>
      <c r="V624" s="434"/>
      <c r="W624" s="434"/>
    </row>
    <row r="625">
      <c r="A625" s="434"/>
      <c r="B625" s="434"/>
      <c r="C625" s="434"/>
      <c r="D625" s="434"/>
      <c r="E625" s="434"/>
      <c r="F625" s="434"/>
      <c r="G625" s="434"/>
      <c r="H625" s="434"/>
      <c r="I625" s="434"/>
      <c r="J625" s="434"/>
      <c r="K625" s="434"/>
      <c r="L625" s="434"/>
      <c r="M625" s="434"/>
      <c r="N625" s="434"/>
      <c r="O625" s="434"/>
      <c r="P625" s="434"/>
      <c r="Q625" s="434"/>
      <c r="R625" s="434"/>
      <c r="S625" s="434"/>
      <c r="T625" s="434"/>
      <c r="U625" s="434"/>
      <c r="V625" s="434"/>
      <c r="W625" s="434"/>
    </row>
    <row r="626">
      <c r="A626" s="434"/>
      <c r="B626" s="434"/>
      <c r="C626" s="434"/>
      <c r="D626" s="434"/>
      <c r="E626" s="434"/>
      <c r="F626" s="434"/>
      <c r="G626" s="434"/>
      <c r="H626" s="434"/>
      <c r="I626" s="434"/>
      <c r="J626" s="434"/>
      <c r="K626" s="434"/>
      <c r="L626" s="434"/>
      <c r="M626" s="434"/>
      <c r="N626" s="434"/>
      <c r="O626" s="434"/>
      <c r="P626" s="434"/>
      <c r="Q626" s="434"/>
      <c r="R626" s="434"/>
      <c r="S626" s="434"/>
      <c r="T626" s="434"/>
      <c r="U626" s="434"/>
      <c r="V626" s="434"/>
      <c r="W626" s="434"/>
    </row>
    <row r="627">
      <c r="A627" s="434"/>
      <c r="B627" s="434"/>
      <c r="C627" s="434"/>
      <c r="D627" s="434"/>
      <c r="E627" s="434"/>
      <c r="F627" s="434"/>
      <c r="G627" s="434"/>
      <c r="H627" s="434"/>
      <c r="I627" s="434"/>
      <c r="J627" s="434"/>
      <c r="K627" s="434"/>
      <c r="L627" s="434"/>
      <c r="M627" s="434"/>
      <c r="N627" s="434"/>
      <c r="O627" s="434"/>
      <c r="P627" s="434"/>
      <c r="Q627" s="434"/>
      <c r="R627" s="434"/>
      <c r="S627" s="434"/>
      <c r="T627" s="434"/>
      <c r="U627" s="434"/>
      <c r="V627" s="434"/>
      <c r="W627" s="434"/>
    </row>
    <row r="628">
      <c r="A628" s="434"/>
      <c r="B628" s="434"/>
      <c r="C628" s="434"/>
      <c r="D628" s="434"/>
      <c r="E628" s="434"/>
      <c r="F628" s="434"/>
      <c r="G628" s="434"/>
      <c r="H628" s="434"/>
      <c r="I628" s="434"/>
      <c r="J628" s="434"/>
      <c r="K628" s="434"/>
      <c r="L628" s="434"/>
      <c r="M628" s="434"/>
      <c r="N628" s="434"/>
      <c r="O628" s="434"/>
      <c r="P628" s="434"/>
      <c r="Q628" s="434"/>
      <c r="R628" s="434"/>
      <c r="S628" s="434"/>
      <c r="T628" s="434"/>
      <c r="U628" s="434"/>
      <c r="V628" s="434"/>
      <c r="W628" s="434"/>
    </row>
    <row r="629">
      <c r="A629" s="434"/>
      <c r="B629" s="434"/>
      <c r="C629" s="434"/>
      <c r="D629" s="434"/>
      <c r="E629" s="434"/>
      <c r="F629" s="434"/>
      <c r="G629" s="434"/>
      <c r="H629" s="434"/>
      <c r="I629" s="434"/>
      <c r="J629" s="434"/>
      <c r="K629" s="434"/>
      <c r="L629" s="434"/>
      <c r="M629" s="434"/>
      <c r="N629" s="434"/>
      <c r="O629" s="434"/>
      <c r="P629" s="434"/>
      <c r="Q629" s="434"/>
      <c r="R629" s="434"/>
      <c r="S629" s="434"/>
      <c r="T629" s="434"/>
      <c r="U629" s="434"/>
      <c r="V629" s="434"/>
      <c r="W629" s="434"/>
    </row>
    <row r="630">
      <c r="A630" s="434"/>
      <c r="B630" s="434"/>
      <c r="C630" s="434"/>
      <c r="D630" s="434"/>
      <c r="E630" s="434"/>
      <c r="F630" s="434"/>
      <c r="G630" s="434"/>
      <c r="H630" s="434"/>
      <c r="I630" s="434"/>
      <c r="J630" s="434"/>
      <c r="K630" s="434"/>
      <c r="L630" s="434"/>
      <c r="M630" s="434"/>
      <c r="N630" s="434"/>
      <c r="O630" s="434"/>
      <c r="P630" s="434"/>
      <c r="Q630" s="434"/>
      <c r="R630" s="434"/>
      <c r="S630" s="434"/>
      <c r="T630" s="434"/>
      <c r="U630" s="434"/>
      <c r="V630" s="434"/>
      <c r="W630" s="434"/>
    </row>
    <row r="631">
      <c r="A631" s="434"/>
      <c r="B631" s="434"/>
      <c r="C631" s="434"/>
      <c r="D631" s="434"/>
      <c r="E631" s="434"/>
      <c r="F631" s="434"/>
      <c r="G631" s="434"/>
      <c r="H631" s="434"/>
      <c r="I631" s="434"/>
      <c r="J631" s="434"/>
      <c r="K631" s="434"/>
      <c r="L631" s="434"/>
      <c r="M631" s="434"/>
      <c r="N631" s="434"/>
      <c r="O631" s="434"/>
      <c r="P631" s="434"/>
      <c r="Q631" s="434"/>
      <c r="R631" s="434"/>
      <c r="S631" s="434"/>
      <c r="T631" s="434"/>
      <c r="U631" s="434"/>
      <c r="V631" s="434"/>
      <c r="W631" s="434"/>
    </row>
    <row r="632">
      <c r="A632" s="434"/>
      <c r="B632" s="434"/>
      <c r="C632" s="434"/>
      <c r="D632" s="434"/>
      <c r="E632" s="434"/>
      <c r="F632" s="434"/>
      <c r="G632" s="434"/>
      <c r="H632" s="434"/>
      <c r="I632" s="434"/>
      <c r="J632" s="434"/>
      <c r="K632" s="434"/>
      <c r="L632" s="434"/>
      <c r="M632" s="434"/>
      <c r="N632" s="434"/>
      <c r="O632" s="434"/>
      <c r="P632" s="434"/>
      <c r="Q632" s="434"/>
      <c r="R632" s="434"/>
      <c r="S632" s="434"/>
      <c r="T632" s="434"/>
      <c r="U632" s="434"/>
      <c r="V632" s="434"/>
      <c r="W632" s="434"/>
    </row>
    <row r="633">
      <c r="A633" s="434"/>
      <c r="B633" s="434"/>
      <c r="C633" s="434"/>
      <c r="D633" s="434"/>
      <c r="E633" s="434"/>
      <c r="F633" s="434"/>
      <c r="G633" s="434"/>
      <c r="H633" s="434"/>
      <c r="I633" s="434"/>
      <c r="J633" s="434"/>
      <c r="K633" s="434"/>
      <c r="L633" s="434"/>
      <c r="M633" s="434"/>
      <c r="N633" s="434"/>
      <c r="O633" s="434"/>
      <c r="P633" s="434"/>
      <c r="Q633" s="434"/>
      <c r="R633" s="434"/>
      <c r="S633" s="434"/>
      <c r="T633" s="434"/>
      <c r="U633" s="434"/>
      <c r="V633" s="434"/>
      <c r="W633" s="434"/>
    </row>
    <row r="634">
      <c r="A634" s="434"/>
      <c r="B634" s="434"/>
      <c r="C634" s="434"/>
      <c r="D634" s="434"/>
      <c r="E634" s="434"/>
      <c r="F634" s="434"/>
      <c r="G634" s="434"/>
      <c r="H634" s="434"/>
      <c r="I634" s="434"/>
      <c r="J634" s="434"/>
      <c r="K634" s="434"/>
      <c r="L634" s="434"/>
      <c r="M634" s="434"/>
      <c r="N634" s="434"/>
      <c r="O634" s="434"/>
      <c r="P634" s="434"/>
      <c r="Q634" s="434"/>
      <c r="R634" s="434"/>
      <c r="S634" s="434"/>
      <c r="T634" s="434"/>
      <c r="U634" s="434"/>
      <c r="V634" s="434"/>
      <c r="W634" s="434"/>
    </row>
    <row r="635">
      <c r="A635" s="434"/>
      <c r="B635" s="434"/>
      <c r="C635" s="434"/>
      <c r="D635" s="434"/>
      <c r="E635" s="434"/>
      <c r="F635" s="434"/>
      <c r="G635" s="434"/>
      <c r="H635" s="434"/>
      <c r="I635" s="434"/>
      <c r="J635" s="434"/>
      <c r="K635" s="434"/>
      <c r="L635" s="434"/>
      <c r="M635" s="434"/>
      <c r="N635" s="434"/>
      <c r="O635" s="434"/>
      <c r="P635" s="434"/>
      <c r="Q635" s="434"/>
      <c r="R635" s="434"/>
      <c r="S635" s="434"/>
      <c r="T635" s="434"/>
      <c r="U635" s="434"/>
      <c r="V635" s="434"/>
      <c r="W635" s="434"/>
    </row>
    <row r="636">
      <c r="A636" s="434"/>
      <c r="B636" s="434"/>
      <c r="C636" s="434"/>
      <c r="D636" s="434"/>
      <c r="E636" s="434"/>
      <c r="F636" s="434"/>
      <c r="G636" s="434"/>
      <c r="H636" s="434"/>
      <c r="I636" s="434"/>
      <c r="J636" s="434"/>
      <c r="K636" s="434"/>
      <c r="L636" s="434"/>
      <c r="M636" s="434"/>
      <c r="N636" s="434"/>
      <c r="O636" s="434"/>
      <c r="P636" s="434"/>
      <c r="Q636" s="434"/>
      <c r="R636" s="434"/>
      <c r="S636" s="434"/>
      <c r="T636" s="434"/>
      <c r="U636" s="434"/>
      <c r="V636" s="434"/>
      <c r="W636" s="434"/>
    </row>
    <row r="637">
      <c r="A637" s="434"/>
      <c r="B637" s="434"/>
      <c r="C637" s="434"/>
      <c r="D637" s="434"/>
      <c r="E637" s="434"/>
      <c r="F637" s="434"/>
      <c r="G637" s="434"/>
      <c r="H637" s="434"/>
      <c r="I637" s="434"/>
      <c r="J637" s="434"/>
      <c r="K637" s="434"/>
      <c r="L637" s="434"/>
      <c r="M637" s="434"/>
      <c r="N637" s="434"/>
      <c r="O637" s="434"/>
      <c r="P637" s="434"/>
      <c r="Q637" s="434"/>
      <c r="R637" s="434"/>
      <c r="S637" s="434"/>
      <c r="T637" s="434"/>
      <c r="U637" s="434"/>
      <c r="V637" s="434"/>
      <c r="W637" s="434"/>
    </row>
    <row r="638">
      <c r="A638" s="434"/>
      <c r="B638" s="434"/>
      <c r="C638" s="434"/>
      <c r="D638" s="434"/>
      <c r="E638" s="434"/>
      <c r="F638" s="434"/>
      <c r="G638" s="434"/>
      <c r="H638" s="434"/>
      <c r="I638" s="434"/>
      <c r="J638" s="434"/>
      <c r="K638" s="434"/>
      <c r="L638" s="434"/>
      <c r="M638" s="434"/>
      <c r="N638" s="434"/>
      <c r="O638" s="434"/>
      <c r="P638" s="434"/>
      <c r="Q638" s="434"/>
      <c r="R638" s="434"/>
      <c r="S638" s="434"/>
      <c r="T638" s="434"/>
      <c r="U638" s="434"/>
      <c r="V638" s="434"/>
      <c r="W638" s="434"/>
    </row>
    <row r="639">
      <c r="A639" s="434"/>
      <c r="B639" s="434"/>
      <c r="C639" s="434"/>
      <c r="D639" s="434"/>
      <c r="E639" s="434"/>
      <c r="F639" s="434"/>
      <c r="G639" s="434"/>
      <c r="H639" s="434"/>
      <c r="I639" s="434"/>
      <c r="J639" s="434"/>
      <c r="K639" s="434"/>
      <c r="L639" s="434"/>
      <c r="M639" s="434"/>
      <c r="N639" s="434"/>
      <c r="O639" s="434"/>
      <c r="P639" s="434"/>
      <c r="Q639" s="434"/>
      <c r="R639" s="434"/>
      <c r="S639" s="434"/>
      <c r="T639" s="434"/>
      <c r="U639" s="434"/>
      <c r="V639" s="434"/>
      <c r="W639" s="434"/>
    </row>
    <row r="640">
      <c r="A640" s="434"/>
      <c r="B640" s="434"/>
      <c r="C640" s="434"/>
      <c r="D640" s="434"/>
      <c r="E640" s="434"/>
      <c r="F640" s="434"/>
      <c r="G640" s="434"/>
      <c r="H640" s="434"/>
      <c r="I640" s="434"/>
      <c r="J640" s="434"/>
      <c r="K640" s="434"/>
      <c r="L640" s="434"/>
      <c r="M640" s="434"/>
      <c r="N640" s="434"/>
      <c r="O640" s="434"/>
      <c r="P640" s="434"/>
      <c r="Q640" s="434"/>
      <c r="R640" s="434"/>
      <c r="S640" s="434"/>
      <c r="T640" s="434"/>
      <c r="U640" s="434"/>
      <c r="V640" s="434"/>
      <c r="W640" s="434"/>
    </row>
    <row r="641">
      <c r="A641" s="434"/>
      <c r="B641" s="434"/>
      <c r="C641" s="434"/>
      <c r="D641" s="434"/>
      <c r="E641" s="434"/>
      <c r="F641" s="434"/>
      <c r="G641" s="434"/>
      <c r="H641" s="434"/>
      <c r="I641" s="434"/>
      <c r="J641" s="434"/>
      <c r="K641" s="434"/>
      <c r="L641" s="434"/>
      <c r="M641" s="434"/>
      <c r="N641" s="434"/>
      <c r="O641" s="434"/>
      <c r="P641" s="434"/>
      <c r="Q641" s="434"/>
      <c r="R641" s="434"/>
      <c r="S641" s="434"/>
      <c r="T641" s="434"/>
      <c r="U641" s="434"/>
      <c r="V641" s="434"/>
      <c r="W641" s="434"/>
    </row>
    <row r="642">
      <c r="A642" s="434"/>
      <c r="B642" s="434"/>
      <c r="C642" s="434"/>
      <c r="D642" s="434"/>
      <c r="E642" s="434"/>
      <c r="F642" s="434"/>
      <c r="G642" s="434"/>
      <c r="H642" s="434"/>
      <c r="I642" s="434"/>
      <c r="J642" s="434"/>
      <c r="K642" s="434"/>
      <c r="L642" s="434"/>
      <c r="M642" s="434"/>
      <c r="N642" s="434"/>
      <c r="O642" s="434"/>
      <c r="P642" s="434"/>
      <c r="Q642" s="434"/>
      <c r="R642" s="434"/>
      <c r="S642" s="434"/>
      <c r="T642" s="434"/>
      <c r="U642" s="434"/>
      <c r="V642" s="434"/>
      <c r="W642" s="434"/>
    </row>
    <row r="643">
      <c r="A643" s="434"/>
      <c r="B643" s="434"/>
      <c r="C643" s="434"/>
      <c r="D643" s="434"/>
      <c r="E643" s="434"/>
      <c r="F643" s="434"/>
      <c r="G643" s="434"/>
      <c r="H643" s="434"/>
      <c r="I643" s="434"/>
      <c r="J643" s="434"/>
      <c r="K643" s="434"/>
      <c r="L643" s="434"/>
      <c r="M643" s="434"/>
      <c r="N643" s="434"/>
      <c r="O643" s="434"/>
      <c r="P643" s="434"/>
      <c r="Q643" s="434"/>
      <c r="R643" s="434"/>
      <c r="S643" s="434"/>
      <c r="T643" s="434"/>
      <c r="U643" s="434"/>
      <c r="V643" s="434"/>
      <c r="W643" s="434"/>
    </row>
    <row r="644">
      <c r="A644" s="434"/>
      <c r="B644" s="434"/>
      <c r="C644" s="434"/>
      <c r="D644" s="434"/>
      <c r="E644" s="434"/>
      <c r="F644" s="434"/>
      <c r="G644" s="434"/>
      <c r="H644" s="434"/>
      <c r="I644" s="434"/>
      <c r="J644" s="434"/>
      <c r="K644" s="434"/>
      <c r="L644" s="434"/>
      <c r="M644" s="434"/>
      <c r="N644" s="434"/>
      <c r="O644" s="434"/>
      <c r="P644" s="434"/>
      <c r="Q644" s="434"/>
      <c r="R644" s="434"/>
      <c r="S644" s="434"/>
      <c r="T644" s="434"/>
      <c r="U644" s="434"/>
      <c r="V644" s="434"/>
      <c r="W644" s="434"/>
    </row>
    <row r="645">
      <c r="A645" s="434"/>
      <c r="B645" s="434"/>
      <c r="C645" s="434"/>
      <c r="D645" s="434"/>
      <c r="E645" s="434"/>
      <c r="F645" s="434"/>
      <c r="G645" s="434"/>
      <c r="H645" s="434"/>
      <c r="I645" s="434"/>
      <c r="J645" s="434"/>
      <c r="K645" s="434"/>
      <c r="L645" s="434"/>
      <c r="M645" s="434"/>
      <c r="N645" s="434"/>
      <c r="O645" s="434"/>
      <c r="P645" s="434"/>
      <c r="Q645" s="434"/>
      <c r="R645" s="434"/>
      <c r="S645" s="434"/>
      <c r="T645" s="434"/>
      <c r="U645" s="434"/>
      <c r="V645" s="434"/>
      <c r="W645" s="434"/>
    </row>
    <row r="646">
      <c r="A646" s="434"/>
      <c r="B646" s="434"/>
      <c r="C646" s="434"/>
      <c r="D646" s="434"/>
      <c r="E646" s="434"/>
      <c r="F646" s="434"/>
      <c r="G646" s="434"/>
      <c r="H646" s="434"/>
      <c r="I646" s="434"/>
      <c r="J646" s="434"/>
      <c r="K646" s="434"/>
      <c r="L646" s="434"/>
      <c r="M646" s="434"/>
      <c r="N646" s="434"/>
      <c r="O646" s="434"/>
      <c r="P646" s="434"/>
      <c r="Q646" s="434"/>
      <c r="R646" s="434"/>
      <c r="S646" s="434"/>
      <c r="T646" s="434"/>
      <c r="U646" s="434"/>
      <c r="V646" s="434"/>
      <c r="W646" s="434"/>
    </row>
    <row r="647">
      <c r="A647" s="434"/>
      <c r="B647" s="434"/>
      <c r="C647" s="434"/>
      <c r="D647" s="434"/>
      <c r="E647" s="434"/>
      <c r="F647" s="434"/>
      <c r="G647" s="434"/>
      <c r="H647" s="434"/>
      <c r="I647" s="434"/>
      <c r="J647" s="434"/>
      <c r="K647" s="434"/>
      <c r="L647" s="434"/>
      <c r="M647" s="434"/>
      <c r="N647" s="434"/>
      <c r="O647" s="434"/>
      <c r="P647" s="434"/>
      <c r="Q647" s="434"/>
      <c r="R647" s="434"/>
      <c r="S647" s="434"/>
      <c r="T647" s="434"/>
      <c r="U647" s="434"/>
      <c r="V647" s="434"/>
      <c r="W647" s="434"/>
    </row>
    <row r="648">
      <c r="A648" s="434"/>
      <c r="B648" s="434"/>
      <c r="C648" s="434"/>
      <c r="D648" s="434"/>
      <c r="E648" s="434"/>
      <c r="F648" s="434"/>
      <c r="G648" s="434"/>
      <c r="H648" s="434"/>
      <c r="I648" s="434"/>
      <c r="J648" s="434"/>
      <c r="K648" s="434"/>
      <c r="L648" s="434"/>
      <c r="M648" s="434"/>
      <c r="N648" s="434"/>
      <c r="O648" s="434"/>
      <c r="P648" s="434"/>
      <c r="Q648" s="434"/>
      <c r="R648" s="434"/>
      <c r="S648" s="434"/>
      <c r="T648" s="434"/>
      <c r="U648" s="434"/>
      <c r="V648" s="434"/>
      <c r="W648" s="434"/>
    </row>
    <row r="649">
      <c r="A649" s="434"/>
      <c r="B649" s="434"/>
      <c r="C649" s="434"/>
      <c r="D649" s="434"/>
      <c r="E649" s="434"/>
      <c r="F649" s="434"/>
      <c r="G649" s="434"/>
      <c r="H649" s="434"/>
      <c r="I649" s="434"/>
      <c r="J649" s="434"/>
      <c r="K649" s="434"/>
      <c r="L649" s="434"/>
      <c r="M649" s="434"/>
      <c r="N649" s="434"/>
      <c r="O649" s="434"/>
      <c r="P649" s="434"/>
      <c r="Q649" s="434"/>
      <c r="R649" s="434"/>
      <c r="S649" s="434"/>
      <c r="T649" s="434"/>
      <c r="U649" s="434"/>
      <c r="V649" s="434"/>
      <c r="W649" s="434"/>
    </row>
    <row r="650">
      <c r="A650" s="434"/>
      <c r="B650" s="434"/>
      <c r="C650" s="434"/>
      <c r="D650" s="434"/>
      <c r="E650" s="434"/>
      <c r="F650" s="434"/>
      <c r="G650" s="434"/>
      <c r="H650" s="434"/>
      <c r="I650" s="434"/>
      <c r="J650" s="434"/>
      <c r="K650" s="434"/>
      <c r="L650" s="434"/>
      <c r="M650" s="434"/>
      <c r="N650" s="434"/>
      <c r="O650" s="434"/>
      <c r="P650" s="434"/>
      <c r="Q650" s="434"/>
      <c r="R650" s="434"/>
      <c r="S650" s="434"/>
      <c r="T650" s="434"/>
      <c r="U650" s="434"/>
      <c r="V650" s="434"/>
      <c r="W650" s="434"/>
    </row>
    <row r="651">
      <c r="A651" s="434"/>
      <c r="B651" s="434"/>
      <c r="C651" s="434"/>
      <c r="D651" s="434"/>
      <c r="E651" s="434"/>
      <c r="F651" s="434"/>
      <c r="G651" s="434"/>
      <c r="H651" s="434"/>
      <c r="I651" s="434"/>
      <c r="J651" s="434"/>
      <c r="K651" s="434"/>
      <c r="L651" s="434"/>
      <c r="M651" s="434"/>
      <c r="N651" s="434"/>
      <c r="O651" s="434"/>
      <c r="P651" s="434"/>
      <c r="Q651" s="434"/>
      <c r="R651" s="434"/>
      <c r="S651" s="434"/>
      <c r="T651" s="434"/>
      <c r="U651" s="434"/>
      <c r="V651" s="434"/>
      <c r="W651" s="434"/>
    </row>
    <row r="652">
      <c r="A652" s="434"/>
      <c r="B652" s="434"/>
      <c r="C652" s="434"/>
      <c r="D652" s="434"/>
      <c r="E652" s="434"/>
      <c r="F652" s="434"/>
      <c r="G652" s="434"/>
      <c r="H652" s="434"/>
      <c r="I652" s="434"/>
      <c r="J652" s="434"/>
      <c r="K652" s="434"/>
      <c r="L652" s="434"/>
      <c r="M652" s="434"/>
      <c r="N652" s="434"/>
      <c r="O652" s="434"/>
      <c r="P652" s="434"/>
      <c r="Q652" s="434"/>
      <c r="R652" s="434"/>
      <c r="S652" s="434"/>
      <c r="T652" s="434"/>
      <c r="U652" s="434"/>
      <c r="V652" s="434"/>
      <c r="W652" s="434"/>
    </row>
    <row r="653">
      <c r="A653" s="434"/>
      <c r="B653" s="434"/>
      <c r="C653" s="434"/>
      <c r="D653" s="434"/>
      <c r="E653" s="434"/>
      <c r="F653" s="434"/>
      <c r="G653" s="434"/>
      <c r="H653" s="434"/>
      <c r="I653" s="434"/>
      <c r="J653" s="434"/>
      <c r="K653" s="434"/>
      <c r="L653" s="434"/>
      <c r="M653" s="434"/>
      <c r="N653" s="434"/>
      <c r="O653" s="434"/>
      <c r="P653" s="434"/>
      <c r="Q653" s="434"/>
      <c r="R653" s="434"/>
      <c r="S653" s="434"/>
      <c r="T653" s="434"/>
      <c r="U653" s="434"/>
      <c r="V653" s="434"/>
      <c r="W653" s="434"/>
    </row>
    <row r="654">
      <c r="A654" s="434"/>
      <c r="B654" s="434"/>
      <c r="C654" s="434"/>
      <c r="D654" s="434"/>
      <c r="E654" s="434"/>
      <c r="F654" s="434"/>
      <c r="G654" s="434"/>
      <c r="H654" s="434"/>
      <c r="I654" s="434"/>
      <c r="J654" s="434"/>
      <c r="K654" s="434"/>
      <c r="L654" s="434"/>
      <c r="M654" s="434"/>
      <c r="N654" s="434"/>
      <c r="O654" s="434"/>
      <c r="P654" s="434"/>
      <c r="Q654" s="434"/>
      <c r="R654" s="434"/>
      <c r="S654" s="434"/>
      <c r="T654" s="434"/>
      <c r="U654" s="434"/>
      <c r="V654" s="434"/>
      <c r="W654" s="434"/>
    </row>
    <row r="655">
      <c r="A655" s="434"/>
      <c r="B655" s="434"/>
      <c r="C655" s="434"/>
      <c r="D655" s="434"/>
      <c r="E655" s="434"/>
      <c r="F655" s="434"/>
      <c r="G655" s="434"/>
      <c r="H655" s="434"/>
      <c r="I655" s="434"/>
      <c r="J655" s="434"/>
      <c r="K655" s="434"/>
      <c r="L655" s="434"/>
      <c r="M655" s="434"/>
      <c r="N655" s="434"/>
      <c r="O655" s="434"/>
      <c r="P655" s="434"/>
      <c r="Q655" s="434"/>
      <c r="R655" s="434"/>
      <c r="S655" s="434"/>
      <c r="T655" s="434"/>
      <c r="U655" s="434"/>
      <c r="V655" s="434"/>
      <c r="W655" s="434"/>
    </row>
    <row r="656">
      <c r="A656" s="434"/>
      <c r="B656" s="434"/>
      <c r="C656" s="434"/>
      <c r="D656" s="434"/>
      <c r="E656" s="434"/>
      <c r="F656" s="434"/>
      <c r="G656" s="434"/>
      <c r="H656" s="434"/>
      <c r="I656" s="434"/>
      <c r="J656" s="434"/>
      <c r="K656" s="434"/>
      <c r="L656" s="434"/>
      <c r="M656" s="434"/>
      <c r="N656" s="434"/>
      <c r="O656" s="434"/>
      <c r="P656" s="434"/>
      <c r="Q656" s="434"/>
      <c r="R656" s="434"/>
      <c r="S656" s="434"/>
      <c r="T656" s="434"/>
      <c r="U656" s="434"/>
      <c r="V656" s="434"/>
      <c r="W656" s="434"/>
    </row>
    <row r="657">
      <c r="A657" s="434"/>
      <c r="B657" s="434"/>
      <c r="C657" s="434"/>
      <c r="D657" s="434"/>
      <c r="E657" s="434"/>
      <c r="F657" s="434"/>
      <c r="G657" s="434"/>
      <c r="H657" s="434"/>
      <c r="I657" s="434"/>
      <c r="J657" s="434"/>
      <c r="K657" s="434"/>
      <c r="L657" s="434"/>
      <c r="M657" s="434"/>
      <c r="N657" s="434"/>
      <c r="O657" s="434"/>
      <c r="P657" s="434"/>
      <c r="Q657" s="434"/>
      <c r="R657" s="434"/>
      <c r="S657" s="434"/>
      <c r="T657" s="434"/>
      <c r="U657" s="434"/>
      <c r="V657" s="434"/>
      <c r="W657" s="434"/>
    </row>
    <row r="658">
      <c r="A658" s="434"/>
      <c r="B658" s="434"/>
      <c r="C658" s="434"/>
      <c r="D658" s="434"/>
      <c r="E658" s="434"/>
      <c r="F658" s="434"/>
      <c r="G658" s="434"/>
      <c r="H658" s="434"/>
      <c r="I658" s="434"/>
      <c r="J658" s="434"/>
      <c r="K658" s="434"/>
      <c r="L658" s="434"/>
      <c r="M658" s="434"/>
      <c r="N658" s="434"/>
      <c r="O658" s="434"/>
      <c r="P658" s="434"/>
      <c r="Q658" s="434"/>
      <c r="R658" s="434"/>
      <c r="S658" s="434"/>
      <c r="T658" s="434"/>
      <c r="U658" s="434"/>
      <c r="V658" s="434"/>
      <c r="W658" s="434"/>
    </row>
    <row r="659">
      <c r="A659" s="434"/>
      <c r="B659" s="434"/>
      <c r="C659" s="434"/>
      <c r="D659" s="434"/>
      <c r="E659" s="434"/>
      <c r="F659" s="434"/>
      <c r="G659" s="434"/>
      <c r="H659" s="434"/>
      <c r="I659" s="434"/>
      <c r="J659" s="434"/>
      <c r="K659" s="434"/>
      <c r="L659" s="434"/>
      <c r="M659" s="434"/>
      <c r="N659" s="434"/>
      <c r="O659" s="434"/>
      <c r="P659" s="434"/>
      <c r="Q659" s="434"/>
      <c r="R659" s="434"/>
      <c r="S659" s="434"/>
      <c r="T659" s="434"/>
      <c r="U659" s="434"/>
      <c r="V659" s="434"/>
      <c r="W659" s="434"/>
    </row>
    <row r="660">
      <c r="A660" s="434"/>
      <c r="B660" s="434"/>
      <c r="C660" s="434"/>
      <c r="D660" s="434"/>
      <c r="E660" s="434"/>
      <c r="F660" s="434"/>
      <c r="G660" s="434"/>
      <c r="H660" s="434"/>
      <c r="I660" s="434"/>
      <c r="J660" s="434"/>
      <c r="K660" s="434"/>
      <c r="L660" s="434"/>
      <c r="M660" s="434"/>
      <c r="N660" s="434"/>
      <c r="O660" s="434"/>
      <c r="P660" s="434"/>
      <c r="Q660" s="434"/>
      <c r="R660" s="434"/>
      <c r="S660" s="434"/>
      <c r="T660" s="434"/>
      <c r="U660" s="434"/>
      <c r="V660" s="434"/>
      <c r="W660" s="434"/>
    </row>
    <row r="661">
      <c r="A661" s="434"/>
      <c r="B661" s="434"/>
      <c r="C661" s="434"/>
      <c r="D661" s="434"/>
      <c r="E661" s="434"/>
      <c r="F661" s="434"/>
      <c r="G661" s="434"/>
      <c r="H661" s="434"/>
      <c r="I661" s="434"/>
      <c r="J661" s="434"/>
      <c r="K661" s="434"/>
      <c r="L661" s="434"/>
      <c r="M661" s="434"/>
      <c r="N661" s="434"/>
      <c r="O661" s="434"/>
      <c r="P661" s="434"/>
      <c r="Q661" s="434"/>
      <c r="R661" s="434"/>
      <c r="S661" s="434"/>
      <c r="T661" s="434"/>
      <c r="U661" s="434"/>
      <c r="V661" s="434"/>
      <c r="W661" s="434"/>
    </row>
    <row r="662">
      <c r="A662" s="434"/>
      <c r="B662" s="434"/>
      <c r="C662" s="434"/>
      <c r="D662" s="434"/>
      <c r="E662" s="434"/>
      <c r="F662" s="434"/>
      <c r="G662" s="434"/>
      <c r="H662" s="434"/>
      <c r="I662" s="434"/>
      <c r="J662" s="434"/>
      <c r="K662" s="434"/>
      <c r="L662" s="434"/>
      <c r="M662" s="434"/>
      <c r="N662" s="434"/>
      <c r="O662" s="434"/>
      <c r="P662" s="434"/>
      <c r="Q662" s="434"/>
      <c r="R662" s="434"/>
      <c r="S662" s="434"/>
      <c r="T662" s="434"/>
      <c r="U662" s="434"/>
      <c r="V662" s="434"/>
      <c r="W662" s="434"/>
    </row>
    <row r="663">
      <c r="A663" s="434"/>
      <c r="B663" s="434"/>
      <c r="C663" s="434"/>
      <c r="D663" s="434"/>
      <c r="E663" s="434"/>
      <c r="F663" s="434"/>
      <c r="G663" s="434"/>
      <c r="H663" s="434"/>
      <c r="I663" s="434"/>
      <c r="J663" s="434"/>
      <c r="K663" s="434"/>
      <c r="L663" s="434"/>
      <c r="M663" s="434"/>
      <c r="N663" s="434"/>
      <c r="O663" s="434"/>
      <c r="P663" s="434"/>
      <c r="Q663" s="434"/>
      <c r="R663" s="434"/>
      <c r="S663" s="434"/>
      <c r="T663" s="434"/>
      <c r="U663" s="434"/>
      <c r="V663" s="434"/>
      <c r="W663" s="434"/>
    </row>
    <row r="664">
      <c r="A664" s="434"/>
      <c r="B664" s="434"/>
      <c r="C664" s="434"/>
      <c r="D664" s="434"/>
      <c r="E664" s="434"/>
      <c r="F664" s="434"/>
      <c r="G664" s="434"/>
      <c r="H664" s="434"/>
      <c r="I664" s="434"/>
      <c r="J664" s="434"/>
      <c r="K664" s="434"/>
      <c r="L664" s="434"/>
      <c r="M664" s="434"/>
      <c r="N664" s="434"/>
      <c r="O664" s="434"/>
      <c r="P664" s="434"/>
      <c r="Q664" s="434"/>
      <c r="R664" s="434"/>
      <c r="S664" s="434"/>
      <c r="T664" s="434"/>
      <c r="U664" s="434"/>
      <c r="V664" s="434"/>
      <c r="W664" s="434"/>
    </row>
    <row r="665">
      <c r="A665" s="434"/>
      <c r="B665" s="434"/>
      <c r="C665" s="434"/>
      <c r="D665" s="434"/>
      <c r="E665" s="434"/>
      <c r="F665" s="434"/>
      <c r="G665" s="434"/>
      <c r="H665" s="434"/>
      <c r="I665" s="434"/>
      <c r="J665" s="434"/>
      <c r="K665" s="434"/>
      <c r="L665" s="434"/>
      <c r="M665" s="434"/>
      <c r="N665" s="434"/>
      <c r="O665" s="434"/>
      <c r="P665" s="434"/>
      <c r="Q665" s="434"/>
      <c r="R665" s="434"/>
      <c r="S665" s="434"/>
      <c r="T665" s="434"/>
      <c r="U665" s="434"/>
      <c r="V665" s="434"/>
      <c r="W665" s="434"/>
    </row>
    <row r="666">
      <c r="A666" s="434"/>
      <c r="B666" s="434"/>
      <c r="C666" s="434"/>
      <c r="D666" s="434"/>
      <c r="E666" s="434"/>
      <c r="F666" s="434"/>
      <c r="G666" s="434"/>
      <c r="H666" s="434"/>
      <c r="I666" s="434"/>
      <c r="J666" s="434"/>
      <c r="K666" s="434"/>
      <c r="L666" s="434"/>
      <c r="M666" s="434"/>
      <c r="N666" s="434"/>
      <c r="O666" s="434"/>
      <c r="P666" s="434"/>
      <c r="Q666" s="434"/>
      <c r="R666" s="434"/>
      <c r="S666" s="434"/>
      <c r="T666" s="434"/>
      <c r="U666" s="434"/>
      <c r="V666" s="434"/>
      <c r="W666" s="434"/>
    </row>
    <row r="667">
      <c r="A667" s="434"/>
      <c r="B667" s="434"/>
      <c r="C667" s="434"/>
      <c r="D667" s="434"/>
      <c r="E667" s="434"/>
      <c r="F667" s="434"/>
      <c r="G667" s="434"/>
      <c r="H667" s="434"/>
      <c r="I667" s="434"/>
      <c r="J667" s="434"/>
      <c r="K667" s="434"/>
      <c r="L667" s="434"/>
      <c r="M667" s="434"/>
      <c r="N667" s="434"/>
      <c r="O667" s="434"/>
      <c r="P667" s="434"/>
      <c r="Q667" s="434"/>
      <c r="R667" s="434"/>
      <c r="S667" s="434"/>
      <c r="T667" s="434"/>
      <c r="U667" s="434"/>
      <c r="V667" s="434"/>
      <c r="W667" s="434"/>
    </row>
    <row r="668">
      <c r="A668" s="434"/>
      <c r="B668" s="434"/>
      <c r="C668" s="434"/>
      <c r="D668" s="434"/>
      <c r="E668" s="434"/>
      <c r="F668" s="434"/>
      <c r="G668" s="434"/>
      <c r="H668" s="434"/>
      <c r="I668" s="434"/>
      <c r="J668" s="434"/>
      <c r="K668" s="434"/>
      <c r="L668" s="434"/>
      <c r="M668" s="434"/>
      <c r="N668" s="434"/>
      <c r="O668" s="434"/>
      <c r="P668" s="434"/>
      <c r="Q668" s="434"/>
      <c r="R668" s="434"/>
      <c r="S668" s="434"/>
      <c r="T668" s="434"/>
      <c r="U668" s="434"/>
      <c r="V668" s="434"/>
      <c r="W668" s="434"/>
    </row>
    <row r="669">
      <c r="A669" s="434"/>
      <c r="B669" s="434"/>
      <c r="C669" s="434"/>
      <c r="D669" s="434"/>
      <c r="E669" s="434"/>
      <c r="F669" s="434"/>
      <c r="G669" s="434"/>
      <c r="H669" s="434"/>
      <c r="I669" s="434"/>
      <c r="J669" s="434"/>
      <c r="K669" s="434"/>
      <c r="L669" s="434"/>
      <c r="M669" s="434"/>
      <c r="N669" s="434"/>
      <c r="O669" s="434"/>
      <c r="P669" s="434"/>
      <c r="Q669" s="434"/>
      <c r="R669" s="434"/>
      <c r="S669" s="434"/>
      <c r="T669" s="434"/>
      <c r="U669" s="434"/>
      <c r="V669" s="434"/>
      <c r="W669" s="434"/>
    </row>
    <row r="670">
      <c r="A670" s="434"/>
      <c r="B670" s="434"/>
      <c r="C670" s="434"/>
      <c r="D670" s="434"/>
      <c r="E670" s="434"/>
      <c r="F670" s="434"/>
      <c r="G670" s="434"/>
      <c r="H670" s="434"/>
      <c r="I670" s="434"/>
      <c r="J670" s="434"/>
      <c r="K670" s="434"/>
      <c r="L670" s="434"/>
      <c r="M670" s="434"/>
      <c r="N670" s="434"/>
      <c r="O670" s="434"/>
      <c r="P670" s="434"/>
      <c r="Q670" s="434"/>
      <c r="R670" s="434"/>
      <c r="S670" s="434"/>
      <c r="T670" s="434"/>
      <c r="U670" s="434"/>
      <c r="V670" s="434"/>
      <c r="W670" s="434"/>
    </row>
    <row r="671">
      <c r="A671" s="434"/>
      <c r="B671" s="434"/>
      <c r="C671" s="434"/>
      <c r="D671" s="434"/>
      <c r="E671" s="434"/>
      <c r="F671" s="434"/>
      <c r="G671" s="434"/>
      <c r="H671" s="434"/>
      <c r="I671" s="434"/>
      <c r="J671" s="434"/>
      <c r="K671" s="434"/>
      <c r="L671" s="434"/>
      <c r="M671" s="434"/>
      <c r="N671" s="434"/>
      <c r="O671" s="434"/>
      <c r="P671" s="434"/>
      <c r="Q671" s="434"/>
      <c r="R671" s="434"/>
      <c r="S671" s="434"/>
      <c r="T671" s="434"/>
      <c r="U671" s="434"/>
      <c r="V671" s="434"/>
      <c r="W671" s="434"/>
    </row>
    <row r="672">
      <c r="A672" s="434"/>
      <c r="B672" s="434"/>
      <c r="C672" s="434"/>
      <c r="D672" s="434"/>
      <c r="E672" s="434"/>
      <c r="F672" s="434"/>
      <c r="G672" s="434"/>
      <c r="H672" s="434"/>
      <c r="I672" s="434"/>
      <c r="J672" s="434"/>
      <c r="K672" s="434"/>
      <c r="L672" s="434"/>
      <c r="M672" s="434"/>
      <c r="N672" s="434"/>
      <c r="O672" s="434"/>
      <c r="P672" s="434"/>
      <c r="Q672" s="434"/>
      <c r="R672" s="434"/>
      <c r="S672" s="434"/>
      <c r="T672" s="434"/>
      <c r="U672" s="434"/>
      <c r="V672" s="434"/>
      <c r="W672" s="434"/>
    </row>
    <row r="673">
      <c r="A673" s="434"/>
      <c r="B673" s="434"/>
      <c r="C673" s="434"/>
      <c r="D673" s="434"/>
      <c r="E673" s="434"/>
      <c r="F673" s="434"/>
      <c r="G673" s="434"/>
      <c r="H673" s="434"/>
      <c r="I673" s="434"/>
      <c r="J673" s="434"/>
      <c r="K673" s="434"/>
      <c r="L673" s="434"/>
      <c r="M673" s="434"/>
      <c r="N673" s="434"/>
      <c r="O673" s="434"/>
      <c r="P673" s="434"/>
      <c r="Q673" s="434"/>
      <c r="R673" s="434"/>
      <c r="S673" s="434"/>
      <c r="T673" s="434"/>
      <c r="U673" s="434"/>
      <c r="V673" s="434"/>
      <c r="W673" s="434"/>
    </row>
    <row r="674">
      <c r="A674" s="434"/>
      <c r="B674" s="434"/>
      <c r="C674" s="434"/>
      <c r="D674" s="434"/>
      <c r="E674" s="434"/>
      <c r="F674" s="434"/>
      <c r="G674" s="434"/>
      <c r="H674" s="434"/>
      <c r="I674" s="434"/>
      <c r="J674" s="434"/>
      <c r="K674" s="434"/>
      <c r="L674" s="434"/>
      <c r="M674" s="434"/>
      <c r="N674" s="434"/>
      <c r="O674" s="434"/>
      <c r="P674" s="434"/>
      <c r="Q674" s="434"/>
      <c r="R674" s="434"/>
      <c r="S674" s="434"/>
      <c r="T674" s="434"/>
      <c r="U674" s="434"/>
      <c r="V674" s="434"/>
      <c r="W674" s="434"/>
    </row>
    <row r="675">
      <c r="A675" s="434"/>
      <c r="B675" s="434"/>
      <c r="C675" s="434"/>
      <c r="D675" s="434"/>
      <c r="E675" s="434"/>
      <c r="F675" s="434"/>
      <c r="G675" s="434"/>
      <c r="H675" s="434"/>
      <c r="I675" s="434"/>
      <c r="J675" s="434"/>
      <c r="K675" s="434"/>
      <c r="L675" s="434"/>
      <c r="M675" s="434"/>
      <c r="N675" s="434"/>
      <c r="O675" s="434"/>
      <c r="P675" s="434"/>
      <c r="Q675" s="434"/>
      <c r="R675" s="434"/>
      <c r="S675" s="434"/>
      <c r="T675" s="434"/>
      <c r="U675" s="434"/>
      <c r="V675" s="434"/>
      <c r="W675" s="434"/>
    </row>
    <row r="676">
      <c r="A676" s="434"/>
      <c r="B676" s="434"/>
      <c r="C676" s="434"/>
      <c r="D676" s="434"/>
      <c r="E676" s="434"/>
      <c r="F676" s="434"/>
      <c r="G676" s="434"/>
      <c r="H676" s="434"/>
      <c r="I676" s="434"/>
      <c r="J676" s="434"/>
      <c r="K676" s="434"/>
      <c r="L676" s="434"/>
      <c r="M676" s="434"/>
      <c r="N676" s="434"/>
      <c r="O676" s="434"/>
      <c r="P676" s="434"/>
      <c r="Q676" s="434"/>
      <c r="R676" s="434"/>
      <c r="S676" s="434"/>
      <c r="T676" s="434"/>
      <c r="U676" s="434"/>
      <c r="V676" s="434"/>
      <c r="W676" s="434"/>
    </row>
    <row r="677">
      <c r="A677" s="434"/>
      <c r="B677" s="434"/>
      <c r="C677" s="434"/>
      <c r="D677" s="434"/>
      <c r="E677" s="434"/>
      <c r="F677" s="434"/>
      <c r="G677" s="434"/>
      <c r="H677" s="434"/>
      <c r="I677" s="434"/>
      <c r="J677" s="434"/>
      <c r="K677" s="434"/>
      <c r="L677" s="434"/>
      <c r="M677" s="434"/>
      <c r="N677" s="434"/>
      <c r="O677" s="434"/>
      <c r="P677" s="434"/>
      <c r="Q677" s="434"/>
      <c r="R677" s="434"/>
      <c r="S677" s="434"/>
      <c r="T677" s="434"/>
      <c r="U677" s="434"/>
      <c r="V677" s="434"/>
      <c r="W677" s="434"/>
    </row>
    <row r="678">
      <c r="A678" s="434"/>
      <c r="B678" s="434"/>
      <c r="C678" s="434"/>
      <c r="D678" s="434"/>
      <c r="E678" s="434"/>
      <c r="F678" s="434"/>
      <c r="G678" s="434"/>
      <c r="H678" s="434"/>
      <c r="I678" s="434"/>
      <c r="J678" s="434"/>
      <c r="K678" s="434"/>
      <c r="L678" s="434"/>
      <c r="M678" s="434"/>
      <c r="N678" s="434"/>
      <c r="O678" s="434"/>
      <c r="P678" s="434"/>
      <c r="Q678" s="434"/>
      <c r="R678" s="434"/>
      <c r="S678" s="434"/>
      <c r="T678" s="434"/>
      <c r="U678" s="434"/>
      <c r="V678" s="434"/>
      <c r="W678" s="434"/>
    </row>
    <row r="679">
      <c r="A679" s="434"/>
      <c r="B679" s="434"/>
      <c r="C679" s="434"/>
      <c r="D679" s="434"/>
      <c r="E679" s="434"/>
      <c r="F679" s="434"/>
      <c r="G679" s="434"/>
      <c r="H679" s="434"/>
      <c r="I679" s="434"/>
      <c r="J679" s="434"/>
      <c r="K679" s="434"/>
      <c r="L679" s="434"/>
      <c r="M679" s="434"/>
      <c r="N679" s="434"/>
      <c r="O679" s="434"/>
      <c r="P679" s="434"/>
      <c r="Q679" s="434"/>
      <c r="R679" s="434"/>
      <c r="S679" s="434"/>
      <c r="T679" s="434"/>
      <c r="U679" s="434"/>
      <c r="V679" s="434"/>
      <c r="W679" s="434"/>
    </row>
    <row r="680">
      <c r="A680" s="434"/>
      <c r="B680" s="434"/>
      <c r="C680" s="434"/>
      <c r="D680" s="434"/>
      <c r="E680" s="434"/>
      <c r="F680" s="434"/>
      <c r="G680" s="434"/>
      <c r="H680" s="434"/>
      <c r="I680" s="434"/>
      <c r="J680" s="434"/>
      <c r="K680" s="434"/>
      <c r="L680" s="434"/>
      <c r="M680" s="434"/>
      <c r="N680" s="434"/>
      <c r="O680" s="434"/>
      <c r="P680" s="434"/>
      <c r="Q680" s="434"/>
      <c r="R680" s="434"/>
      <c r="S680" s="434"/>
      <c r="T680" s="434"/>
      <c r="U680" s="434"/>
      <c r="V680" s="434"/>
      <c r="W680" s="434"/>
    </row>
    <row r="681">
      <c r="A681" s="434"/>
      <c r="B681" s="434"/>
      <c r="C681" s="434"/>
      <c r="D681" s="434"/>
      <c r="E681" s="434"/>
      <c r="F681" s="434"/>
      <c r="G681" s="434"/>
      <c r="H681" s="434"/>
      <c r="I681" s="434"/>
      <c r="J681" s="434"/>
      <c r="K681" s="434"/>
      <c r="L681" s="434"/>
      <c r="M681" s="434"/>
      <c r="N681" s="434"/>
      <c r="O681" s="434"/>
      <c r="P681" s="434"/>
      <c r="Q681" s="434"/>
      <c r="R681" s="434"/>
      <c r="S681" s="434"/>
      <c r="T681" s="434"/>
      <c r="U681" s="434"/>
      <c r="V681" s="434"/>
      <c r="W681" s="434"/>
    </row>
    <row r="682">
      <c r="A682" s="434"/>
      <c r="B682" s="434"/>
      <c r="C682" s="434"/>
      <c r="D682" s="434"/>
      <c r="E682" s="434"/>
      <c r="F682" s="434"/>
      <c r="G682" s="434"/>
      <c r="H682" s="434"/>
      <c r="I682" s="434"/>
      <c r="J682" s="434"/>
      <c r="K682" s="434"/>
      <c r="L682" s="434"/>
      <c r="M682" s="434"/>
      <c r="N682" s="434"/>
      <c r="O682" s="434"/>
      <c r="P682" s="434"/>
      <c r="Q682" s="434"/>
      <c r="R682" s="434"/>
      <c r="S682" s="434"/>
      <c r="T682" s="434"/>
      <c r="U682" s="434"/>
      <c r="V682" s="434"/>
      <c r="W682" s="434"/>
    </row>
    <row r="683">
      <c r="A683" s="434"/>
      <c r="B683" s="434"/>
      <c r="C683" s="434"/>
      <c r="D683" s="434"/>
      <c r="E683" s="434"/>
      <c r="F683" s="434"/>
      <c r="G683" s="434"/>
      <c r="H683" s="434"/>
      <c r="I683" s="434"/>
      <c r="J683" s="434"/>
      <c r="K683" s="434"/>
      <c r="L683" s="434"/>
      <c r="M683" s="434"/>
      <c r="N683" s="434"/>
      <c r="O683" s="434"/>
      <c r="P683" s="434"/>
      <c r="Q683" s="434"/>
      <c r="R683" s="434"/>
      <c r="S683" s="434"/>
      <c r="T683" s="434"/>
      <c r="U683" s="434"/>
      <c r="V683" s="434"/>
      <c r="W683" s="434"/>
    </row>
    <row r="684">
      <c r="A684" s="434"/>
      <c r="B684" s="434"/>
      <c r="C684" s="434"/>
      <c r="D684" s="434"/>
      <c r="E684" s="434"/>
      <c r="F684" s="434"/>
      <c r="G684" s="434"/>
      <c r="H684" s="434"/>
      <c r="I684" s="434"/>
      <c r="J684" s="434"/>
      <c r="K684" s="434"/>
      <c r="L684" s="434"/>
      <c r="M684" s="434"/>
      <c r="N684" s="434"/>
      <c r="O684" s="434"/>
      <c r="P684" s="434"/>
      <c r="Q684" s="434"/>
      <c r="R684" s="434"/>
      <c r="S684" s="434"/>
      <c r="T684" s="434"/>
      <c r="U684" s="434"/>
      <c r="V684" s="434"/>
      <c r="W684" s="434"/>
    </row>
    <row r="685">
      <c r="A685" s="434"/>
      <c r="B685" s="434"/>
      <c r="C685" s="434"/>
      <c r="D685" s="434"/>
      <c r="E685" s="434"/>
      <c r="F685" s="434"/>
      <c r="G685" s="434"/>
      <c r="H685" s="434"/>
      <c r="I685" s="434"/>
      <c r="J685" s="434"/>
      <c r="K685" s="434"/>
      <c r="L685" s="434"/>
      <c r="M685" s="434"/>
      <c r="N685" s="434"/>
      <c r="O685" s="434"/>
      <c r="P685" s="434"/>
      <c r="Q685" s="434"/>
      <c r="R685" s="434"/>
      <c r="S685" s="434"/>
      <c r="T685" s="434"/>
      <c r="U685" s="434"/>
      <c r="V685" s="434"/>
      <c r="W685" s="434"/>
    </row>
    <row r="686">
      <c r="A686" s="434"/>
      <c r="B686" s="434"/>
      <c r="C686" s="434"/>
      <c r="D686" s="434"/>
      <c r="E686" s="434"/>
      <c r="F686" s="434"/>
      <c r="G686" s="434"/>
      <c r="H686" s="434"/>
      <c r="I686" s="434"/>
      <c r="J686" s="434"/>
      <c r="K686" s="434"/>
      <c r="L686" s="434"/>
      <c r="M686" s="434"/>
      <c r="N686" s="434"/>
      <c r="O686" s="434"/>
      <c r="P686" s="434"/>
      <c r="Q686" s="434"/>
      <c r="R686" s="434"/>
      <c r="S686" s="434"/>
      <c r="T686" s="434"/>
      <c r="U686" s="434"/>
      <c r="V686" s="434"/>
      <c r="W686" s="434"/>
    </row>
    <row r="687">
      <c r="A687" s="434"/>
      <c r="B687" s="434"/>
      <c r="C687" s="434"/>
      <c r="D687" s="434"/>
      <c r="E687" s="434"/>
      <c r="F687" s="434"/>
      <c r="G687" s="434"/>
      <c r="H687" s="434"/>
      <c r="I687" s="434"/>
      <c r="J687" s="434"/>
      <c r="K687" s="434"/>
      <c r="L687" s="434"/>
      <c r="M687" s="434"/>
      <c r="N687" s="434"/>
      <c r="O687" s="434"/>
      <c r="P687" s="434"/>
      <c r="Q687" s="434"/>
      <c r="R687" s="434"/>
      <c r="S687" s="434"/>
      <c r="T687" s="434"/>
      <c r="U687" s="434"/>
      <c r="V687" s="434"/>
      <c r="W687" s="434"/>
    </row>
    <row r="688">
      <c r="A688" s="434"/>
      <c r="B688" s="434"/>
      <c r="C688" s="434"/>
      <c r="D688" s="434"/>
      <c r="E688" s="434"/>
      <c r="F688" s="434"/>
      <c r="G688" s="434"/>
      <c r="H688" s="434"/>
      <c r="I688" s="434"/>
      <c r="J688" s="434"/>
      <c r="K688" s="434"/>
      <c r="L688" s="434"/>
      <c r="M688" s="434"/>
      <c r="N688" s="434"/>
      <c r="O688" s="434"/>
      <c r="P688" s="434"/>
      <c r="Q688" s="434"/>
      <c r="R688" s="434"/>
      <c r="S688" s="434"/>
      <c r="T688" s="434"/>
      <c r="U688" s="434"/>
      <c r="V688" s="434"/>
      <c r="W688" s="434"/>
    </row>
    <row r="689">
      <c r="A689" s="434"/>
      <c r="B689" s="434"/>
      <c r="C689" s="434"/>
      <c r="D689" s="434"/>
      <c r="E689" s="434"/>
      <c r="F689" s="434"/>
      <c r="G689" s="434"/>
      <c r="H689" s="434"/>
      <c r="I689" s="434"/>
      <c r="J689" s="434"/>
      <c r="K689" s="434"/>
      <c r="L689" s="434"/>
      <c r="M689" s="434"/>
      <c r="N689" s="434"/>
      <c r="O689" s="434"/>
      <c r="P689" s="434"/>
      <c r="Q689" s="434"/>
      <c r="R689" s="434"/>
      <c r="S689" s="434"/>
      <c r="T689" s="434"/>
      <c r="U689" s="434"/>
      <c r="V689" s="434"/>
      <c r="W689" s="434"/>
    </row>
    <row r="690">
      <c r="A690" s="434"/>
      <c r="B690" s="434"/>
      <c r="C690" s="434"/>
      <c r="D690" s="434"/>
      <c r="E690" s="434"/>
      <c r="F690" s="434"/>
      <c r="G690" s="434"/>
      <c r="H690" s="434"/>
      <c r="I690" s="434"/>
      <c r="J690" s="434"/>
      <c r="K690" s="434"/>
      <c r="L690" s="434"/>
      <c r="M690" s="434"/>
      <c r="N690" s="434"/>
      <c r="O690" s="434"/>
      <c r="P690" s="434"/>
      <c r="Q690" s="434"/>
      <c r="R690" s="434"/>
      <c r="S690" s="434"/>
      <c r="T690" s="434"/>
      <c r="U690" s="434"/>
      <c r="V690" s="434"/>
      <c r="W690" s="434"/>
    </row>
    <row r="691">
      <c r="A691" s="434"/>
      <c r="B691" s="434"/>
      <c r="C691" s="434"/>
      <c r="D691" s="434"/>
      <c r="E691" s="434"/>
      <c r="F691" s="434"/>
      <c r="G691" s="434"/>
      <c r="H691" s="434"/>
      <c r="I691" s="434"/>
      <c r="J691" s="434"/>
      <c r="K691" s="434"/>
      <c r="L691" s="434"/>
      <c r="M691" s="434"/>
      <c r="N691" s="434"/>
      <c r="O691" s="434"/>
      <c r="P691" s="434"/>
      <c r="Q691" s="434"/>
      <c r="R691" s="434"/>
      <c r="S691" s="434"/>
      <c r="T691" s="434"/>
      <c r="U691" s="434"/>
      <c r="V691" s="434"/>
      <c r="W691" s="434"/>
    </row>
    <row r="692">
      <c r="A692" s="434"/>
      <c r="B692" s="434"/>
      <c r="C692" s="434"/>
      <c r="D692" s="434"/>
      <c r="E692" s="434"/>
      <c r="F692" s="434"/>
      <c r="G692" s="434"/>
      <c r="H692" s="434"/>
      <c r="I692" s="434"/>
      <c r="J692" s="434"/>
      <c r="K692" s="434"/>
      <c r="L692" s="434"/>
      <c r="M692" s="434"/>
      <c r="N692" s="434"/>
      <c r="O692" s="434"/>
      <c r="P692" s="434"/>
      <c r="Q692" s="434"/>
      <c r="R692" s="434"/>
      <c r="S692" s="434"/>
      <c r="T692" s="434"/>
      <c r="U692" s="434"/>
      <c r="V692" s="434"/>
      <c r="W692" s="434"/>
    </row>
    <row r="693">
      <c r="A693" s="434"/>
      <c r="B693" s="434"/>
      <c r="C693" s="434"/>
      <c r="D693" s="434"/>
      <c r="E693" s="434"/>
      <c r="F693" s="434"/>
      <c r="G693" s="434"/>
      <c r="H693" s="434"/>
      <c r="I693" s="434"/>
      <c r="J693" s="434"/>
      <c r="K693" s="434"/>
      <c r="L693" s="434"/>
      <c r="M693" s="434"/>
      <c r="N693" s="434"/>
      <c r="O693" s="434"/>
      <c r="P693" s="434"/>
      <c r="Q693" s="434"/>
      <c r="R693" s="434"/>
      <c r="S693" s="434"/>
      <c r="T693" s="434"/>
      <c r="U693" s="434"/>
      <c r="V693" s="434"/>
      <c r="W693" s="434"/>
    </row>
    <row r="694">
      <c r="A694" s="434"/>
      <c r="B694" s="434"/>
      <c r="C694" s="434"/>
      <c r="D694" s="434"/>
      <c r="E694" s="434"/>
      <c r="F694" s="434"/>
      <c r="G694" s="434"/>
      <c r="H694" s="434"/>
      <c r="I694" s="434"/>
      <c r="J694" s="434"/>
      <c r="K694" s="434"/>
      <c r="L694" s="434"/>
      <c r="M694" s="434"/>
      <c r="N694" s="434"/>
      <c r="O694" s="434"/>
      <c r="P694" s="434"/>
      <c r="Q694" s="434"/>
      <c r="R694" s="434"/>
      <c r="S694" s="434"/>
      <c r="T694" s="434"/>
      <c r="U694" s="434"/>
      <c r="V694" s="434"/>
      <c r="W694" s="434"/>
    </row>
    <row r="695">
      <c r="A695" s="434"/>
      <c r="B695" s="434"/>
      <c r="C695" s="434"/>
      <c r="D695" s="434"/>
      <c r="E695" s="434"/>
      <c r="F695" s="434"/>
      <c r="G695" s="434"/>
      <c r="H695" s="434"/>
      <c r="I695" s="434"/>
      <c r="J695" s="434"/>
      <c r="K695" s="434"/>
      <c r="L695" s="434"/>
      <c r="M695" s="434"/>
      <c r="N695" s="434"/>
      <c r="O695" s="434"/>
      <c r="P695" s="434"/>
      <c r="Q695" s="434"/>
      <c r="R695" s="434"/>
      <c r="S695" s="434"/>
      <c r="T695" s="434"/>
      <c r="U695" s="434"/>
      <c r="V695" s="434"/>
      <c r="W695" s="434"/>
    </row>
    <row r="696">
      <c r="A696" s="434"/>
      <c r="B696" s="434"/>
      <c r="C696" s="434"/>
      <c r="D696" s="434"/>
      <c r="E696" s="434"/>
      <c r="F696" s="434"/>
      <c r="G696" s="434"/>
      <c r="H696" s="434"/>
      <c r="I696" s="434"/>
      <c r="J696" s="434"/>
      <c r="K696" s="434"/>
      <c r="L696" s="434"/>
      <c r="M696" s="434"/>
      <c r="N696" s="434"/>
      <c r="O696" s="434"/>
      <c r="P696" s="434"/>
      <c r="Q696" s="434"/>
      <c r="R696" s="434"/>
      <c r="S696" s="434"/>
      <c r="T696" s="434"/>
      <c r="U696" s="434"/>
      <c r="V696" s="434"/>
      <c r="W696" s="434"/>
    </row>
    <row r="697">
      <c r="A697" s="434"/>
      <c r="B697" s="434"/>
      <c r="C697" s="434"/>
      <c r="D697" s="434"/>
      <c r="E697" s="434"/>
      <c r="F697" s="434"/>
      <c r="G697" s="434"/>
      <c r="H697" s="434"/>
      <c r="I697" s="434"/>
      <c r="J697" s="434"/>
      <c r="K697" s="434"/>
      <c r="L697" s="434"/>
      <c r="M697" s="434"/>
      <c r="N697" s="434"/>
      <c r="O697" s="434"/>
      <c r="P697" s="434"/>
      <c r="Q697" s="434"/>
      <c r="R697" s="434"/>
      <c r="S697" s="434"/>
      <c r="T697" s="434"/>
      <c r="U697" s="434"/>
      <c r="V697" s="434"/>
      <c r="W697" s="434"/>
    </row>
    <row r="698">
      <c r="A698" s="434"/>
      <c r="B698" s="434"/>
      <c r="C698" s="434"/>
      <c r="D698" s="434"/>
      <c r="E698" s="434"/>
      <c r="F698" s="434"/>
      <c r="G698" s="434"/>
      <c r="H698" s="434"/>
      <c r="I698" s="434"/>
      <c r="J698" s="434"/>
      <c r="K698" s="434"/>
      <c r="L698" s="434"/>
      <c r="M698" s="434"/>
      <c r="N698" s="434"/>
      <c r="O698" s="434"/>
      <c r="P698" s="434"/>
      <c r="Q698" s="434"/>
      <c r="R698" s="434"/>
      <c r="S698" s="434"/>
      <c r="T698" s="434"/>
      <c r="U698" s="434"/>
      <c r="V698" s="434"/>
      <c r="W698" s="434"/>
    </row>
    <row r="699">
      <c r="A699" s="434"/>
      <c r="B699" s="434"/>
      <c r="C699" s="434"/>
      <c r="D699" s="434"/>
      <c r="E699" s="434"/>
      <c r="F699" s="434"/>
      <c r="G699" s="434"/>
      <c r="H699" s="434"/>
      <c r="I699" s="434"/>
      <c r="J699" s="434"/>
      <c r="K699" s="434"/>
      <c r="L699" s="434"/>
      <c r="M699" s="434"/>
      <c r="N699" s="434"/>
      <c r="O699" s="434"/>
      <c r="P699" s="434"/>
      <c r="Q699" s="434"/>
      <c r="R699" s="434"/>
      <c r="S699" s="434"/>
      <c r="T699" s="434"/>
      <c r="U699" s="434"/>
      <c r="V699" s="434"/>
      <c r="W699" s="434"/>
    </row>
    <row r="700">
      <c r="A700" s="434"/>
      <c r="B700" s="434"/>
      <c r="C700" s="434"/>
      <c r="D700" s="434"/>
      <c r="E700" s="434"/>
      <c r="F700" s="434"/>
      <c r="G700" s="434"/>
      <c r="H700" s="434"/>
      <c r="I700" s="434"/>
      <c r="J700" s="434"/>
      <c r="K700" s="434"/>
      <c r="L700" s="434"/>
      <c r="M700" s="434"/>
      <c r="N700" s="434"/>
      <c r="O700" s="434"/>
      <c r="P700" s="434"/>
      <c r="Q700" s="434"/>
      <c r="R700" s="434"/>
      <c r="S700" s="434"/>
      <c r="T700" s="434"/>
      <c r="U700" s="434"/>
      <c r="V700" s="434"/>
      <c r="W700" s="434"/>
    </row>
    <row r="701">
      <c r="A701" s="434"/>
      <c r="B701" s="434"/>
      <c r="C701" s="434"/>
      <c r="D701" s="434"/>
      <c r="E701" s="434"/>
      <c r="F701" s="434"/>
      <c r="G701" s="434"/>
      <c r="H701" s="434"/>
      <c r="I701" s="434"/>
      <c r="J701" s="434"/>
      <c r="K701" s="434"/>
      <c r="L701" s="434"/>
      <c r="M701" s="434"/>
      <c r="N701" s="434"/>
      <c r="O701" s="434"/>
      <c r="P701" s="434"/>
      <c r="Q701" s="434"/>
      <c r="R701" s="434"/>
      <c r="S701" s="434"/>
      <c r="T701" s="434"/>
      <c r="U701" s="434"/>
      <c r="V701" s="434"/>
      <c r="W701" s="434"/>
    </row>
    <row r="702">
      <c r="A702" s="434"/>
      <c r="B702" s="434"/>
      <c r="C702" s="434"/>
      <c r="D702" s="434"/>
      <c r="E702" s="434"/>
      <c r="F702" s="434"/>
      <c r="G702" s="434"/>
      <c r="H702" s="434"/>
      <c r="I702" s="434"/>
      <c r="J702" s="434"/>
      <c r="K702" s="434"/>
      <c r="L702" s="434"/>
      <c r="M702" s="434"/>
      <c r="N702" s="434"/>
      <c r="O702" s="434"/>
      <c r="P702" s="434"/>
      <c r="Q702" s="434"/>
      <c r="R702" s="434"/>
      <c r="S702" s="434"/>
      <c r="T702" s="434"/>
      <c r="U702" s="434"/>
      <c r="V702" s="434"/>
      <c r="W702" s="434"/>
    </row>
    <row r="703">
      <c r="A703" s="434"/>
      <c r="B703" s="434"/>
      <c r="C703" s="434"/>
      <c r="D703" s="434"/>
      <c r="E703" s="434"/>
      <c r="F703" s="434"/>
      <c r="G703" s="434"/>
      <c r="H703" s="434"/>
      <c r="I703" s="434"/>
      <c r="J703" s="434"/>
      <c r="K703" s="434"/>
      <c r="L703" s="434"/>
      <c r="M703" s="434"/>
      <c r="N703" s="434"/>
      <c r="O703" s="434"/>
      <c r="P703" s="434"/>
      <c r="Q703" s="434"/>
      <c r="R703" s="434"/>
      <c r="S703" s="434"/>
      <c r="T703" s="434"/>
      <c r="U703" s="434"/>
      <c r="V703" s="434"/>
      <c r="W703" s="434"/>
    </row>
    <row r="704">
      <c r="A704" s="434"/>
      <c r="B704" s="434"/>
      <c r="C704" s="434"/>
      <c r="D704" s="434"/>
      <c r="E704" s="434"/>
      <c r="F704" s="434"/>
      <c r="G704" s="434"/>
      <c r="H704" s="434"/>
      <c r="I704" s="434"/>
      <c r="J704" s="434"/>
      <c r="K704" s="434"/>
      <c r="L704" s="434"/>
      <c r="M704" s="434"/>
      <c r="N704" s="434"/>
      <c r="O704" s="434"/>
      <c r="P704" s="434"/>
      <c r="Q704" s="434"/>
      <c r="R704" s="434"/>
      <c r="S704" s="434"/>
      <c r="T704" s="434"/>
      <c r="U704" s="434"/>
      <c r="V704" s="434"/>
      <c r="W704" s="434"/>
    </row>
    <row r="705">
      <c r="A705" s="434"/>
      <c r="B705" s="434"/>
      <c r="C705" s="434"/>
      <c r="D705" s="434"/>
      <c r="E705" s="434"/>
      <c r="F705" s="434"/>
      <c r="G705" s="434"/>
      <c r="H705" s="434"/>
      <c r="I705" s="434"/>
      <c r="J705" s="434"/>
      <c r="K705" s="434"/>
      <c r="L705" s="434"/>
      <c r="M705" s="434"/>
      <c r="N705" s="434"/>
      <c r="O705" s="434"/>
      <c r="P705" s="434"/>
      <c r="Q705" s="434"/>
      <c r="R705" s="434"/>
      <c r="S705" s="434"/>
      <c r="T705" s="434"/>
      <c r="U705" s="434"/>
      <c r="V705" s="434"/>
      <c r="W705" s="434"/>
    </row>
    <row r="706">
      <c r="A706" s="434"/>
      <c r="B706" s="434"/>
      <c r="C706" s="434"/>
      <c r="D706" s="434"/>
      <c r="E706" s="434"/>
      <c r="F706" s="434"/>
      <c r="G706" s="434"/>
      <c r="H706" s="434"/>
      <c r="I706" s="434"/>
      <c r="J706" s="434"/>
      <c r="K706" s="434"/>
      <c r="L706" s="434"/>
      <c r="M706" s="434"/>
      <c r="N706" s="434"/>
      <c r="O706" s="434"/>
      <c r="P706" s="434"/>
      <c r="Q706" s="434"/>
      <c r="R706" s="434"/>
      <c r="S706" s="434"/>
      <c r="T706" s="434"/>
      <c r="U706" s="434"/>
      <c r="V706" s="434"/>
      <c r="W706" s="434"/>
    </row>
    <row r="707">
      <c r="A707" s="434"/>
      <c r="B707" s="434"/>
      <c r="C707" s="434"/>
      <c r="D707" s="434"/>
      <c r="E707" s="434"/>
      <c r="F707" s="434"/>
      <c r="G707" s="434"/>
      <c r="H707" s="434"/>
      <c r="I707" s="434"/>
      <c r="J707" s="434"/>
      <c r="K707" s="434"/>
      <c r="L707" s="434"/>
      <c r="M707" s="434"/>
      <c r="N707" s="434"/>
      <c r="O707" s="434"/>
      <c r="P707" s="434"/>
      <c r="Q707" s="434"/>
      <c r="R707" s="434"/>
      <c r="S707" s="434"/>
      <c r="T707" s="434"/>
      <c r="U707" s="434"/>
      <c r="V707" s="434"/>
      <c r="W707" s="434"/>
    </row>
    <row r="708">
      <c r="A708" s="434"/>
      <c r="B708" s="434"/>
      <c r="C708" s="434"/>
      <c r="D708" s="434"/>
      <c r="E708" s="434"/>
      <c r="F708" s="434"/>
      <c r="G708" s="434"/>
      <c r="H708" s="434"/>
      <c r="I708" s="434"/>
      <c r="J708" s="434"/>
      <c r="K708" s="434"/>
      <c r="L708" s="434"/>
      <c r="M708" s="434"/>
      <c r="N708" s="434"/>
      <c r="O708" s="434"/>
      <c r="P708" s="434"/>
      <c r="Q708" s="434"/>
      <c r="R708" s="434"/>
      <c r="S708" s="434"/>
      <c r="T708" s="434"/>
      <c r="U708" s="434"/>
      <c r="V708" s="434"/>
      <c r="W708" s="434"/>
    </row>
    <row r="709">
      <c r="A709" s="434"/>
      <c r="B709" s="434"/>
      <c r="C709" s="434"/>
      <c r="D709" s="434"/>
      <c r="E709" s="434"/>
      <c r="F709" s="434"/>
      <c r="G709" s="434"/>
      <c r="H709" s="434"/>
      <c r="I709" s="434"/>
      <c r="J709" s="434"/>
      <c r="K709" s="434"/>
      <c r="L709" s="434"/>
      <c r="M709" s="434"/>
      <c r="N709" s="434"/>
      <c r="O709" s="434"/>
      <c r="P709" s="434"/>
      <c r="Q709" s="434"/>
      <c r="R709" s="434"/>
      <c r="S709" s="434"/>
      <c r="T709" s="434"/>
      <c r="U709" s="434"/>
      <c r="V709" s="434"/>
      <c r="W709" s="434"/>
    </row>
    <row r="710">
      <c r="A710" s="434"/>
      <c r="B710" s="434"/>
      <c r="C710" s="434"/>
      <c r="D710" s="434"/>
      <c r="E710" s="434"/>
      <c r="F710" s="434"/>
      <c r="G710" s="434"/>
      <c r="H710" s="434"/>
      <c r="I710" s="434"/>
      <c r="J710" s="434"/>
      <c r="K710" s="434"/>
      <c r="L710" s="434"/>
      <c r="M710" s="434"/>
      <c r="N710" s="434"/>
      <c r="O710" s="434"/>
      <c r="P710" s="434"/>
      <c r="Q710" s="434"/>
      <c r="R710" s="434"/>
      <c r="S710" s="434"/>
      <c r="T710" s="434"/>
      <c r="U710" s="434"/>
      <c r="V710" s="434"/>
      <c r="W710" s="434"/>
    </row>
    <row r="711">
      <c r="A711" s="434"/>
      <c r="B711" s="434"/>
      <c r="C711" s="434"/>
      <c r="D711" s="434"/>
      <c r="E711" s="434"/>
      <c r="F711" s="434"/>
      <c r="G711" s="434"/>
      <c r="H711" s="434"/>
      <c r="I711" s="434"/>
      <c r="J711" s="434"/>
      <c r="K711" s="434"/>
      <c r="L711" s="434"/>
      <c r="M711" s="434"/>
      <c r="N711" s="434"/>
      <c r="O711" s="434"/>
      <c r="P711" s="434"/>
      <c r="Q711" s="434"/>
      <c r="R711" s="434"/>
      <c r="S711" s="434"/>
      <c r="T711" s="434"/>
      <c r="U711" s="434"/>
      <c r="V711" s="434"/>
      <c r="W711" s="434"/>
    </row>
    <row r="712">
      <c r="A712" s="434"/>
      <c r="B712" s="434"/>
      <c r="C712" s="434"/>
      <c r="D712" s="434"/>
      <c r="E712" s="434"/>
      <c r="F712" s="434"/>
      <c r="G712" s="434"/>
      <c r="H712" s="434"/>
      <c r="I712" s="434"/>
      <c r="J712" s="434"/>
      <c r="K712" s="434"/>
      <c r="L712" s="434"/>
      <c r="M712" s="434"/>
      <c r="N712" s="434"/>
      <c r="O712" s="434"/>
      <c r="P712" s="434"/>
      <c r="Q712" s="434"/>
      <c r="R712" s="434"/>
      <c r="S712" s="434"/>
      <c r="T712" s="434"/>
      <c r="U712" s="434"/>
      <c r="V712" s="434"/>
      <c r="W712" s="434"/>
    </row>
    <row r="713">
      <c r="A713" s="434"/>
      <c r="B713" s="434"/>
      <c r="C713" s="434"/>
      <c r="D713" s="434"/>
      <c r="E713" s="434"/>
      <c r="F713" s="434"/>
      <c r="G713" s="434"/>
      <c r="H713" s="434"/>
      <c r="I713" s="434"/>
      <c r="J713" s="434"/>
      <c r="K713" s="434"/>
      <c r="L713" s="434"/>
      <c r="M713" s="434"/>
      <c r="N713" s="434"/>
      <c r="O713" s="434"/>
      <c r="P713" s="434"/>
      <c r="Q713" s="434"/>
      <c r="R713" s="434"/>
      <c r="S713" s="434"/>
      <c r="T713" s="434"/>
      <c r="U713" s="434"/>
      <c r="V713" s="434"/>
      <c r="W713" s="434"/>
    </row>
    <row r="714">
      <c r="A714" s="434"/>
      <c r="B714" s="434"/>
      <c r="C714" s="434"/>
      <c r="D714" s="434"/>
      <c r="E714" s="434"/>
      <c r="F714" s="434"/>
      <c r="G714" s="434"/>
      <c r="H714" s="434"/>
      <c r="I714" s="434"/>
      <c r="J714" s="434"/>
      <c r="K714" s="434"/>
      <c r="L714" s="434"/>
      <c r="M714" s="434"/>
      <c r="N714" s="434"/>
      <c r="O714" s="434"/>
      <c r="P714" s="434"/>
      <c r="Q714" s="434"/>
      <c r="R714" s="434"/>
      <c r="S714" s="434"/>
      <c r="T714" s="434"/>
      <c r="U714" s="434"/>
      <c r="V714" s="434"/>
      <c r="W714" s="434"/>
    </row>
    <row r="715">
      <c r="A715" s="434"/>
      <c r="B715" s="434"/>
      <c r="C715" s="434"/>
      <c r="D715" s="434"/>
      <c r="E715" s="434"/>
      <c r="F715" s="434"/>
      <c r="G715" s="434"/>
      <c r="H715" s="434"/>
      <c r="I715" s="434"/>
      <c r="J715" s="434"/>
      <c r="K715" s="434"/>
      <c r="L715" s="434"/>
      <c r="M715" s="434"/>
      <c r="N715" s="434"/>
      <c r="O715" s="434"/>
      <c r="P715" s="434"/>
      <c r="Q715" s="434"/>
      <c r="R715" s="434"/>
      <c r="S715" s="434"/>
      <c r="T715" s="434"/>
      <c r="U715" s="434"/>
      <c r="V715" s="434"/>
      <c r="W715" s="434"/>
    </row>
    <row r="716">
      <c r="A716" s="434"/>
      <c r="B716" s="434"/>
      <c r="C716" s="434"/>
      <c r="D716" s="434"/>
      <c r="E716" s="434"/>
      <c r="F716" s="434"/>
      <c r="G716" s="434"/>
      <c r="H716" s="434"/>
      <c r="I716" s="434"/>
      <c r="J716" s="434"/>
      <c r="K716" s="434"/>
      <c r="L716" s="434"/>
      <c r="M716" s="434"/>
      <c r="N716" s="434"/>
      <c r="O716" s="434"/>
      <c r="P716" s="434"/>
      <c r="Q716" s="434"/>
      <c r="R716" s="434"/>
      <c r="S716" s="434"/>
      <c r="T716" s="434"/>
      <c r="U716" s="434"/>
      <c r="V716" s="434"/>
      <c r="W716" s="434"/>
    </row>
    <row r="717">
      <c r="A717" s="434"/>
      <c r="B717" s="434"/>
      <c r="C717" s="434"/>
      <c r="D717" s="434"/>
      <c r="E717" s="434"/>
      <c r="F717" s="434"/>
      <c r="G717" s="434"/>
      <c r="H717" s="434"/>
      <c r="I717" s="434"/>
      <c r="J717" s="434"/>
      <c r="K717" s="434"/>
      <c r="L717" s="434"/>
      <c r="M717" s="434"/>
      <c r="N717" s="434"/>
      <c r="O717" s="434"/>
      <c r="P717" s="434"/>
      <c r="Q717" s="434"/>
      <c r="R717" s="434"/>
      <c r="S717" s="434"/>
      <c r="T717" s="434"/>
      <c r="U717" s="434"/>
      <c r="V717" s="434"/>
      <c r="W717" s="434"/>
    </row>
    <row r="718">
      <c r="A718" s="434"/>
      <c r="B718" s="434"/>
      <c r="C718" s="434"/>
      <c r="D718" s="434"/>
      <c r="E718" s="434"/>
      <c r="F718" s="434"/>
      <c r="G718" s="434"/>
      <c r="H718" s="434"/>
      <c r="I718" s="434"/>
      <c r="J718" s="434"/>
      <c r="K718" s="434"/>
      <c r="L718" s="434"/>
      <c r="M718" s="434"/>
      <c r="N718" s="434"/>
      <c r="O718" s="434"/>
      <c r="P718" s="434"/>
      <c r="Q718" s="434"/>
      <c r="R718" s="434"/>
      <c r="S718" s="434"/>
      <c r="T718" s="434"/>
      <c r="U718" s="434"/>
      <c r="V718" s="434"/>
      <c r="W718" s="434"/>
    </row>
    <row r="719">
      <c r="A719" s="434"/>
      <c r="B719" s="434"/>
      <c r="C719" s="434"/>
      <c r="D719" s="434"/>
      <c r="E719" s="434"/>
      <c r="F719" s="434"/>
      <c r="G719" s="434"/>
      <c r="H719" s="434"/>
      <c r="I719" s="434"/>
      <c r="J719" s="434"/>
      <c r="K719" s="434"/>
      <c r="L719" s="434"/>
      <c r="M719" s="434"/>
      <c r="N719" s="434"/>
      <c r="O719" s="434"/>
      <c r="P719" s="434"/>
      <c r="Q719" s="434"/>
      <c r="R719" s="434"/>
      <c r="S719" s="434"/>
      <c r="T719" s="434"/>
      <c r="U719" s="434"/>
      <c r="V719" s="434"/>
      <c r="W719" s="434"/>
    </row>
    <row r="720">
      <c r="A720" s="434"/>
      <c r="B720" s="434"/>
      <c r="C720" s="434"/>
      <c r="D720" s="434"/>
      <c r="E720" s="434"/>
      <c r="F720" s="434"/>
      <c r="G720" s="434"/>
      <c r="H720" s="434"/>
      <c r="I720" s="434"/>
      <c r="J720" s="434"/>
      <c r="K720" s="434"/>
      <c r="L720" s="434"/>
      <c r="M720" s="434"/>
      <c r="N720" s="434"/>
      <c r="O720" s="434"/>
      <c r="P720" s="434"/>
      <c r="Q720" s="434"/>
      <c r="R720" s="434"/>
      <c r="S720" s="434"/>
      <c r="T720" s="434"/>
      <c r="U720" s="434"/>
      <c r="V720" s="434"/>
      <c r="W720" s="434"/>
    </row>
    <row r="721">
      <c r="A721" s="434"/>
      <c r="B721" s="434"/>
      <c r="C721" s="434"/>
      <c r="D721" s="434"/>
      <c r="E721" s="434"/>
      <c r="F721" s="434"/>
      <c r="G721" s="434"/>
      <c r="H721" s="434"/>
      <c r="I721" s="434"/>
      <c r="J721" s="434"/>
      <c r="K721" s="434"/>
      <c r="L721" s="434"/>
      <c r="M721" s="434"/>
      <c r="N721" s="434"/>
      <c r="O721" s="434"/>
      <c r="P721" s="434"/>
      <c r="Q721" s="434"/>
      <c r="R721" s="434"/>
      <c r="S721" s="434"/>
      <c r="T721" s="434"/>
      <c r="U721" s="434"/>
      <c r="V721" s="434"/>
      <c r="W721" s="434"/>
    </row>
    <row r="722">
      <c r="A722" s="434"/>
      <c r="B722" s="434"/>
      <c r="C722" s="434"/>
      <c r="D722" s="434"/>
      <c r="E722" s="434"/>
      <c r="F722" s="434"/>
      <c r="G722" s="434"/>
      <c r="H722" s="434"/>
      <c r="I722" s="434"/>
      <c r="J722" s="434"/>
      <c r="K722" s="434"/>
      <c r="L722" s="434"/>
      <c r="M722" s="434"/>
      <c r="N722" s="434"/>
      <c r="O722" s="434"/>
      <c r="P722" s="434"/>
      <c r="Q722" s="434"/>
      <c r="R722" s="434"/>
      <c r="S722" s="434"/>
      <c r="T722" s="434"/>
      <c r="U722" s="434"/>
      <c r="V722" s="434"/>
      <c r="W722" s="434"/>
    </row>
    <row r="723">
      <c r="A723" s="434"/>
      <c r="B723" s="434"/>
      <c r="C723" s="434"/>
      <c r="D723" s="434"/>
      <c r="E723" s="434"/>
      <c r="F723" s="434"/>
      <c r="G723" s="434"/>
      <c r="H723" s="434"/>
      <c r="I723" s="434"/>
      <c r="J723" s="434"/>
      <c r="K723" s="434"/>
      <c r="L723" s="434"/>
      <c r="M723" s="434"/>
      <c r="N723" s="434"/>
      <c r="O723" s="434"/>
      <c r="P723" s="434"/>
      <c r="Q723" s="434"/>
      <c r="R723" s="434"/>
      <c r="S723" s="434"/>
      <c r="T723" s="434"/>
      <c r="U723" s="434"/>
      <c r="V723" s="434"/>
      <c r="W723" s="434"/>
    </row>
    <row r="724">
      <c r="A724" s="434"/>
      <c r="B724" s="434"/>
      <c r="C724" s="434"/>
      <c r="D724" s="434"/>
      <c r="E724" s="434"/>
      <c r="F724" s="434"/>
      <c r="G724" s="434"/>
      <c r="H724" s="434"/>
      <c r="I724" s="434"/>
      <c r="J724" s="434"/>
      <c r="K724" s="434"/>
      <c r="L724" s="434"/>
      <c r="M724" s="434"/>
      <c r="N724" s="434"/>
      <c r="O724" s="434"/>
      <c r="P724" s="434"/>
      <c r="Q724" s="434"/>
      <c r="R724" s="434"/>
      <c r="S724" s="434"/>
      <c r="T724" s="434"/>
      <c r="U724" s="434"/>
      <c r="V724" s="434"/>
      <c r="W724" s="434"/>
    </row>
    <row r="725">
      <c r="A725" s="434"/>
      <c r="B725" s="434"/>
      <c r="C725" s="434"/>
      <c r="D725" s="434"/>
      <c r="E725" s="434"/>
      <c r="F725" s="434"/>
      <c r="G725" s="434"/>
      <c r="H725" s="434"/>
      <c r="I725" s="434"/>
      <c r="J725" s="434"/>
      <c r="K725" s="434"/>
      <c r="L725" s="434"/>
      <c r="M725" s="434"/>
      <c r="N725" s="434"/>
      <c r="O725" s="434"/>
      <c r="P725" s="434"/>
      <c r="Q725" s="434"/>
      <c r="R725" s="434"/>
      <c r="S725" s="434"/>
      <c r="T725" s="434"/>
      <c r="U725" s="434"/>
      <c r="V725" s="434"/>
      <c r="W725" s="434"/>
    </row>
    <row r="726">
      <c r="A726" s="434"/>
      <c r="B726" s="434"/>
      <c r="C726" s="434"/>
      <c r="D726" s="434"/>
      <c r="E726" s="434"/>
      <c r="F726" s="434"/>
      <c r="G726" s="434"/>
      <c r="H726" s="434"/>
      <c r="I726" s="434"/>
      <c r="J726" s="434"/>
      <c r="K726" s="434"/>
      <c r="L726" s="434"/>
      <c r="M726" s="434"/>
      <c r="N726" s="434"/>
      <c r="O726" s="434"/>
      <c r="P726" s="434"/>
      <c r="Q726" s="434"/>
      <c r="R726" s="434"/>
      <c r="S726" s="434"/>
      <c r="T726" s="434"/>
      <c r="U726" s="434"/>
      <c r="V726" s="434"/>
      <c r="W726" s="434"/>
    </row>
    <row r="727">
      <c r="A727" s="434"/>
      <c r="B727" s="434"/>
      <c r="C727" s="434"/>
      <c r="D727" s="434"/>
      <c r="E727" s="434"/>
      <c r="F727" s="434"/>
      <c r="G727" s="434"/>
      <c r="H727" s="434"/>
      <c r="I727" s="434"/>
      <c r="J727" s="434"/>
      <c r="K727" s="434"/>
      <c r="L727" s="434"/>
      <c r="M727" s="434"/>
      <c r="N727" s="434"/>
      <c r="O727" s="434"/>
      <c r="P727" s="434"/>
      <c r="Q727" s="434"/>
      <c r="R727" s="434"/>
      <c r="S727" s="434"/>
      <c r="T727" s="434"/>
      <c r="U727" s="434"/>
      <c r="V727" s="434"/>
      <c r="W727" s="434"/>
    </row>
    <row r="728">
      <c r="A728" s="434"/>
      <c r="B728" s="434"/>
      <c r="C728" s="434"/>
      <c r="D728" s="434"/>
      <c r="E728" s="434"/>
      <c r="F728" s="434"/>
      <c r="G728" s="434"/>
      <c r="H728" s="434"/>
      <c r="I728" s="434"/>
      <c r="J728" s="434"/>
      <c r="K728" s="434"/>
      <c r="L728" s="434"/>
      <c r="M728" s="434"/>
      <c r="N728" s="434"/>
      <c r="O728" s="434"/>
      <c r="P728" s="434"/>
      <c r="Q728" s="434"/>
      <c r="R728" s="434"/>
      <c r="S728" s="434"/>
      <c r="T728" s="434"/>
      <c r="U728" s="434"/>
      <c r="V728" s="434"/>
      <c r="W728" s="434"/>
    </row>
    <row r="729">
      <c r="A729" s="434"/>
      <c r="B729" s="434"/>
      <c r="C729" s="434"/>
      <c r="D729" s="434"/>
      <c r="E729" s="434"/>
      <c r="F729" s="434"/>
      <c r="G729" s="434"/>
      <c r="H729" s="434"/>
      <c r="I729" s="434"/>
      <c r="J729" s="434"/>
      <c r="K729" s="434"/>
      <c r="L729" s="434"/>
      <c r="M729" s="434"/>
      <c r="N729" s="434"/>
      <c r="O729" s="434"/>
      <c r="P729" s="434"/>
      <c r="Q729" s="434"/>
      <c r="R729" s="434"/>
      <c r="S729" s="434"/>
      <c r="T729" s="434"/>
      <c r="U729" s="434"/>
      <c r="V729" s="434"/>
      <c r="W729" s="434"/>
    </row>
    <row r="730">
      <c r="A730" s="434"/>
      <c r="B730" s="434"/>
      <c r="C730" s="434"/>
      <c r="D730" s="434"/>
      <c r="E730" s="434"/>
      <c r="F730" s="434"/>
      <c r="G730" s="434"/>
      <c r="H730" s="434"/>
      <c r="I730" s="434"/>
      <c r="J730" s="434"/>
      <c r="K730" s="434"/>
      <c r="L730" s="434"/>
      <c r="M730" s="434"/>
      <c r="N730" s="434"/>
      <c r="O730" s="434"/>
      <c r="P730" s="434"/>
      <c r="Q730" s="434"/>
      <c r="R730" s="434"/>
      <c r="S730" s="434"/>
      <c r="T730" s="434"/>
      <c r="U730" s="434"/>
      <c r="V730" s="434"/>
      <c r="W730" s="434"/>
    </row>
    <row r="731">
      <c r="A731" s="434"/>
      <c r="B731" s="434"/>
      <c r="C731" s="434"/>
      <c r="D731" s="434"/>
      <c r="E731" s="434"/>
      <c r="F731" s="434"/>
      <c r="G731" s="434"/>
      <c r="H731" s="434"/>
      <c r="I731" s="434"/>
      <c r="J731" s="434"/>
      <c r="K731" s="434"/>
      <c r="L731" s="434"/>
      <c r="M731" s="434"/>
      <c r="N731" s="434"/>
      <c r="O731" s="434"/>
      <c r="P731" s="434"/>
      <c r="Q731" s="434"/>
      <c r="R731" s="434"/>
      <c r="S731" s="434"/>
      <c r="T731" s="434"/>
      <c r="U731" s="434"/>
      <c r="V731" s="434"/>
      <c r="W731" s="434"/>
    </row>
    <row r="732">
      <c r="A732" s="434"/>
      <c r="B732" s="434"/>
      <c r="C732" s="434"/>
      <c r="D732" s="434"/>
      <c r="E732" s="434"/>
      <c r="F732" s="434"/>
      <c r="G732" s="434"/>
      <c r="H732" s="434"/>
      <c r="I732" s="434"/>
      <c r="J732" s="434"/>
      <c r="K732" s="434"/>
      <c r="L732" s="434"/>
      <c r="M732" s="434"/>
      <c r="N732" s="434"/>
      <c r="O732" s="434"/>
      <c r="P732" s="434"/>
      <c r="Q732" s="434"/>
      <c r="R732" s="434"/>
      <c r="S732" s="434"/>
      <c r="T732" s="434"/>
      <c r="U732" s="434"/>
      <c r="V732" s="434"/>
      <c r="W732" s="434"/>
    </row>
    <row r="733">
      <c r="A733" s="434"/>
      <c r="B733" s="434"/>
      <c r="C733" s="434"/>
      <c r="D733" s="434"/>
      <c r="E733" s="434"/>
      <c r="F733" s="434"/>
      <c r="G733" s="434"/>
      <c r="H733" s="434"/>
      <c r="I733" s="434"/>
      <c r="J733" s="434"/>
      <c r="K733" s="434"/>
      <c r="L733" s="434"/>
      <c r="M733" s="434"/>
      <c r="N733" s="434"/>
      <c r="O733" s="434"/>
      <c r="P733" s="434"/>
      <c r="Q733" s="434"/>
      <c r="R733" s="434"/>
      <c r="S733" s="434"/>
      <c r="T733" s="434"/>
      <c r="U733" s="434"/>
      <c r="V733" s="434"/>
      <c r="W733" s="434"/>
    </row>
    <row r="734">
      <c r="A734" s="434"/>
      <c r="B734" s="434"/>
      <c r="C734" s="434"/>
      <c r="D734" s="434"/>
      <c r="E734" s="434"/>
      <c r="F734" s="434"/>
      <c r="G734" s="434"/>
      <c r="H734" s="434"/>
      <c r="I734" s="434"/>
      <c r="J734" s="434"/>
      <c r="K734" s="434"/>
      <c r="L734" s="434"/>
      <c r="M734" s="434"/>
      <c r="N734" s="434"/>
      <c r="O734" s="434"/>
      <c r="P734" s="434"/>
      <c r="Q734" s="434"/>
      <c r="R734" s="434"/>
      <c r="S734" s="434"/>
      <c r="T734" s="434"/>
      <c r="U734" s="434"/>
      <c r="V734" s="434"/>
      <c r="W734" s="434"/>
    </row>
    <row r="735">
      <c r="A735" s="434"/>
      <c r="B735" s="434"/>
      <c r="C735" s="434"/>
      <c r="D735" s="434"/>
      <c r="E735" s="434"/>
      <c r="F735" s="434"/>
      <c r="G735" s="434"/>
      <c r="H735" s="434"/>
      <c r="I735" s="434"/>
      <c r="J735" s="434"/>
      <c r="K735" s="434"/>
      <c r="L735" s="434"/>
      <c r="M735" s="434"/>
      <c r="N735" s="434"/>
      <c r="O735" s="434"/>
      <c r="P735" s="434"/>
      <c r="Q735" s="434"/>
      <c r="R735" s="434"/>
      <c r="S735" s="434"/>
      <c r="T735" s="434"/>
      <c r="U735" s="434"/>
      <c r="V735" s="434"/>
      <c r="W735" s="434"/>
    </row>
    <row r="736">
      <c r="A736" s="434"/>
      <c r="B736" s="434"/>
      <c r="C736" s="434"/>
      <c r="D736" s="434"/>
      <c r="E736" s="434"/>
      <c r="F736" s="434"/>
      <c r="G736" s="434"/>
      <c r="H736" s="434"/>
      <c r="I736" s="434"/>
      <c r="J736" s="434"/>
      <c r="K736" s="434"/>
      <c r="L736" s="434"/>
      <c r="M736" s="434"/>
      <c r="N736" s="434"/>
      <c r="O736" s="434"/>
      <c r="P736" s="434"/>
      <c r="Q736" s="434"/>
      <c r="R736" s="434"/>
      <c r="S736" s="434"/>
      <c r="T736" s="434"/>
      <c r="U736" s="434"/>
      <c r="V736" s="434"/>
      <c r="W736" s="434"/>
    </row>
    <row r="737">
      <c r="A737" s="434"/>
      <c r="B737" s="434"/>
      <c r="C737" s="434"/>
      <c r="D737" s="434"/>
      <c r="E737" s="434"/>
      <c r="F737" s="434"/>
      <c r="G737" s="434"/>
      <c r="H737" s="434"/>
      <c r="I737" s="434"/>
      <c r="J737" s="434"/>
      <c r="K737" s="434"/>
      <c r="L737" s="434"/>
      <c r="M737" s="434"/>
      <c r="N737" s="434"/>
      <c r="O737" s="434"/>
      <c r="P737" s="434"/>
      <c r="Q737" s="434"/>
      <c r="R737" s="434"/>
      <c r="S737" s="434"/>
      <c r="T737" s="434"/>
      <c r="U737" s="434"/>
      <c r="V737" s="434"/>
      <c r="W737" s="434"/>
    </row>
    <row r="738">
      <c r="A738" s="434"/>
      <c r="B738" s="434"/>
      <c r="C738" s="434"/>
      <c r="D738" s="434"/>
      <c r="E738" s="434"/>
      <c r="F738" s="434"/>
      <c r="G738" s="434"/>
      <c r="H738" s="434"/>
      <c r="I738" s="434"/>
      <c r="J738" s="434"/>
      <c r="K738" s="434"/>
      <c r="L738" s="434"/>
      <c r="M738" s="434"/>
      <c r="N738" s="434"/>
      <c r="O738" s="434"/>
      <c r="P738" s="434"/>
      <c r="Q738" s="434"/>
      <c r="R738" s="434"/>
      <c r="S738" s="434"/>
      <c r="T738" s="434"/>
      <c r="U738" s="434"/>
      <c r="V738" s="434"/>
      <c r="W738" s="434"/>
    </row>
    <row r="739">
      <c r="A739" s="434"/>
      <c r="B739" s="434"/>
      <c r="C739" s="434"/>
      <c r="D739" s="434"/>
      <c r="E739" s="434"/>
      <c r="F739" s="434"/>
      <c r="G739" s="434"/>
      <c r="H739" s="434"/>
      <c r="I739" s="434"/>
      <c r="J739" s="434"/>
      <c r="K739" s="434"/>
      <c r="L739" s="434"/>
      <c r="M739" s="434"/>
      <c r="N739" s="434"/>
      <c r="O739" s="434"/>
      <c r="P739" s="434"/>
      <c r="Q739" s="434"/>
      <c r="R739" s="434"/>
      <c r="S739" s="434"/>
      <c r="T739" s="434"/>
      <c r="U739" s="434"/>
      <c r="V739" s="434"/>
      <c r="W739" s="434"/>
    </row>
    <row r="740">
      <c r="A740" s="434"/>
      <c r="B740" s="434"/>
      <c r="C740" s="434"/>
      <c r="D740" s="434"/>
      <c r="E740" s="434"/>
      <c r="F740" s="434"/>
      <c r="G740" s="434"/>
      <c r="H740" s="434"/>
      <c r="I740" s="434"/>
      <c r="J740" s="434"/>
      <c r="K740" s="434"/>
      <c r="L740" s="434"/>
      <c r="M740" s="434"/>
      <c r="N740" s="434"/>
      <c r="O740" s="434"/>
      <c r="P740" s="434"/>
      <c r="Q740" s="434"/>
      <c r="R740" s="434"/>
      <c r="S740" s="434"/>
      <c r="T740" s="434"/>
      <c r="U740" s="434"/>
      <c r="V740" s="434"/>
      <c r="W740" s="434"/>
    </row>
    <row r="741">
      <c r="A741" s="434"/>
      <c r="B741" s="434"/>
      <c r="C741" s="434"/>
      <c r="D741" s="434"/>
      <c r="E741" s="434"/>
      <c r="F741" s="434"/>
      <c r="G741" s="434"/>
      <c r="H741" s="434"/>
      <c r="I741" s="434"/>
      <c r="J741" s="434"/>
      <c r="K741" s="434"/>
      <c r="L741" s="434"/>
      <c r="M741" s="434"/>
      <c r="N741" s="434"/>
      <c r="O741" s="434"/>
      <c r="P741" s="434"/>
      <c r="Q741" s="434"/>
      <c r="R741" s="434"/>
      <c r="S741" s="434"/>
      <c r="T741" s="434"/>
      <c r="U741" s="434"/>
      <c r="V741" s="434"/>
      <c r="W741" s="434"/>
    </row>
    <row r="742">
      <c r="A742" s="434"/>
      <c r="B742" s="434"/>
      <c r="C742" s="434"/>
      <c r="D742" s="434"/>
      <c r="E742" s="434"/>
      <c r="F742" s="434"/>
      <c r="G742" s="434"/>
      <c r="H742" s="434"/>
      <c r="I742" s="434"/>
      <c r="J742" s="434"/>
      <c r="K742" s="434"/>
      <c r="L742" s="434"/>
      <c r="M742" s="434"/>
      <c r="N742" s="434"/>
      <c r="O742" s="434"/>
      <c r="P742" s="434"/>
      <c r="Q742" s="434"/>
      <c r="R742" s="434"/>
      <c r="S742" s="434"/>
      <c r="T742" s="434"/>
      <c r="U742" s="434"/>
      <c r="V742" s="434"/>
      <c r="W742" s="434"/>
    </row>
    <row r="743">
      <c r="A743" s="434"/>
      <c r="B743" s="434"/>
      <c r="C743" s="434"/>
      <c r="D743" s="434"/>
      <c r="E743" s="434"/>
      <c r="F743" s="434"/>
      <c r="G743" s="434"/>
      <c r="H743" s="434"/>
      <c r="I743" s="434"/>
      <c r="J743" s="434"/>
      <c r="K743" s="434"/>
      <c r="L743" s="434"/>
      <c r="M743" s="434"/>
      <c r="N743" s="434"/>
      <c r="O743" s="434"/>
      <c r="P743" s="434"/>
      <c r="Q743" s="434"/>
      <c r="R743" s="434"/>
      <c r="S743" s="434"/>
      <c r="T743" s="434"/>
      <c r="U743" s="434"/>
      <c r="V743" s="434"/>
      <c r="W743" s="434"/>
    </row>
    <row r="744">
      <c r="A744" s="434"/>
      <c r="B744" s="434"/>
      <c r="C744" s="434"/>
      <c r="D744" s="434"/>
      <c r="E744" s="434"/>
      <c r="F744" s="434"/>
      <c r="G744" s="434"/>
      <c r="H744" s="434"/>
      <c r="I744" s="434"/>
      <c r="J744" s="434"/>
      <c r="K744" s="434"/>
      <c r="L744" s="434"/>
      <c r="M744" s="434"/>
      <c r="N744" s="434"/>
      <c r="O744" s="434"/>
      <c r="P744" s="434"/>
      <c r="Q744" s="434"/>
      <c r="R744" s="434"/>
      <c r="S744" s="434"/>
      <c r="T744" s="434"/>
      <c r="U744" s="434"/>
      <c r="V744" s="434"/>
      <c r="W744" s="434"/>
    </row>
    <row r="745">
      <c r="A745" s="434"/>
      <c r="B745" s="434"/>
      <c r="C745" s="434"/>
      <c r="D745" s="434"/>
      <c r="E745" s="434"/>
      <c r="F745" s="434"/>
      <c r="G745" s="434"/>
      <c r="H745" s="434"/>
      <c r="I745" s="434"/>
      <c r="J745" s="434"/>
      <c r="K745" s="434"/>
      <c r="L745" s="434"/>
      <c r="M745" s="434"/>
      <c r="N745" s="434"/>
      <c r="O745" s="434"/>
      <c r="P745" s="434"/>
      <c r="Q745" s="434"/>
      <c r="R745" s="434"/>
      <c r="S745" s="434"/>
      <c r="T745" s="434"/>
      <c r="U745" s="434"/>
      <c r="V745" s="434"/>
      <c r="W745" s="434"/>
    </row>
    <row r="746">
      <c r="A746" s="434"/>
      <c r="B746" s="434"/>
      <c r="C746" s="434"/>
      <c r="D746" s="434"/>
      <c r="E746" s="434"/>
      <c r="F746" s="434"/>
      <c r="G746" s="434"/>
      <c r="H746" s="434"/>
      <c r="I746" s="434"/>
      <c r="J746" s="434"/>
      <c r="K746" s="434"/>
      <c r="L746" s="434"/>
      <c r="M746" s="434"/>
      <c r="N746" s="434"/>
      <c r="O746" s="434"/>
      <c r="P746" s="434"/>
      <c r="Q746" s="434"/>
      <c r="R746" s="434"/>
      <c r="S746" s="434"/>
      <c r="T746" s="434"/>
      <c r="U746" s="434"/>
      <c r="V746" s="434"/>
      <c r="W746" s="434"/>
    </row>
    <row r="747">
      <c r="A747" s="434"/>
      <c r="B747" s="434"/>
      <c r="C747" s="434"/>
      <c r="D747" s="434"/>
      <c r="E747" s="434"/>
      <c r="F747" s="434"/>
      <c r="G747" s="434"/>
      <c r="H747" s="434"/>
      <c r="I747" s="434"/>
      <c r="J747" s="434"/>
      <c r="K747" s="434"/>
      <c r="L747" s="434"/>
      <c r="M747" s="434"/>
      <c r="N747" s="434"/>
      <c r="O747" s="434"/>
      <c r="P747" s="434"/>
      <c r="Q747" s="434"/>
      <c r="R747" s="434"/>
      <c r="S747" s="434"/>
      <c r="T747" s="434"/>
      <c r="U747" s="434"/>
      <c r="V747" s="434"/>
      <c r="W747" s="434"/>
    </row>
    <row r="748">
      <c r="A748" s="434"/>
      <c r="B748" s="434"/>
      <c r="C748" s="434"/>
      <c r="D748" s="434"/>
      <c r="E748" s="434"/>
      <c r="F748" s="434"/>
      <c r="G748" s="434"/>
      <c r="H748" s="434"/>
      <c r="I748" s="434"/>
      <c r="J748" s="434"/>
      <c r="K748" s="434"/>
      <c r="L748" s="434"/>
      <c r="M748" s="434"/>
      <c r="N748" s="434"/>
      <c r="O748" s="434"/>
      <c r="P748" s="434"/>
      <c r="Q748" s="434"/>
      <c r="R748" s="434"/>
      <c r="S748" s="434"/>
      <c r="T748" s="434"/>
      <c r="U748" s="434"/>
      <c r="V748" s="434"/>
      <c r="W748" s="434"/>
    </row>
    <row r="749">
      <c r="A749" s="434"/>
      <c r="B749" s="434"/>
      <c r="C749" s="434"/>
      <c r="D749" s="434"/>
      <c r="E749" s="434"/>
      <c r="F749" s="434"/>
      <c r="G749" s="434"/>
      <c r="H749" s="434"/>
      <c r="I749" s="434"/>
      <c r="J749" s="434"/>
      <c r="K749" s="434"/>
      <c r="L749" s="434"/>
      <c r="M749" s="434"/>
      <c r="N749" s="434"/>
      <c r="O749" s="434"/>
      <c r="P749" s="434"/>
      <c r="Q749" s="434"/>
      <c r="R749" s="434"/>
      <c r="S749" s="434"/>
      <c r="T749" s="434"/>
      <c r="U749" s="434"/>
      <c r="V749" s="434"/>
      <c r="W749" s="434"/>
    </row>
    <row r="750">
      <c r="A750" s="434"/>
      <c r="B750" s="434"/>
      <c r="C750" s="434"/>
      <c r="D750" s="434"/>
      <c r="E750" s="434"/>
      <c r="F750" s="434"/>
      <c r="G750" s="434"/>
      <c r="H750" s="434"/>
      <c r="I750" s="434"/>
      <c r="J750" s="434"/>
      <c r="K750" s="434"/>
      <c r="L750" s="434"/>
      <c r="M750" s="434"/>
      <c r="N750" s="434"/>
      <c r="O750" s="434"/>
      <c r="P750" s="434"/>
      <c r="Q750" s="434"/>
      <c r="R750" s="434"/>
      <c r="S750" s="434"/>
      <c r="T750" s="434"/>
      <c r="U750" s="434"/>
      <c r="V750" s="434"/>
      <c r="W750" s="434"/>
    </row>
    <row r="751">
      <c r="A751" s="434"/>
      <c r="B751" s="434"/>
      <c r="C751" s="434"/>
      <c r="D751" s="434"/>
      <c r="E751" s="434"/>
      <c r="F751" s="434"/>
      <c r="G751" s="434"/>
      <c r="H751" s="434"/>
      <c r="I751" s="434"/>
      <c r="J751" s="434"/>
      <c r="K751" s="434"/>
      <c r="L751" s="434"/>
      <c r="M751" s="434"/>
      <c r="N751" s="434"/>
      <c r="O751" s="434"/>
      <c r="P751" s="434"/>
      <c r="Q751" s="434"/>
      <c r="R751" s="434"/>
      <c r="S751" s="434"/>
      <c r="T751" s="434"/>
      <c r="U751" s="434"/>
      <c r="V751" s="434"/>
      <c r="W751" s="434"/>
    </row>
    <row r="752">
      <c r="A752" s="434"/>
      <c r="B752" s="434"/>
      <c r="C752" s="434"/>
      <c r="D752" s="434"/>
      <c r="E752" s="434"/>
      <c r="F752" s="434"/>
      <c r="G752" s="434"/>
      <c r="H752" s="434"/>
      <c r="I752" s="434"/>
      <c r="J752" s="434"/>
      <c r="K752" s="434"/>
      <c r="L752" s="434"/>
      <c r="M752" s="434"/>
      <c r="N752" s="434"/>
      <c r="O752" s="434"/>
      <c r="P752" s="434"/>
      <c r="Q752" s="434"/>
      <c r="R752" s="434"/>
      <c r="S752" s="434"/>
      <c r="T752" s="434"/>
      <c r="U752" s="434"/>
      <c r="V752" s="434"/>
      <c r="W752" s="434"/>
    </row>
    <row r="753">
      <c r="A753" s="434"/>
      <c r="B753" s="434"/>
      <c r="C753" s="434"/>
      <c r="D753" s="434"/>
      <c r="E753" s="434"/>
      <c r="F753" s="434"/>
      <c r="G753" s="434"/>
      <c r="H753" s="434"/>
      <c r="I753" s="434"/>
      <c r="J753" s="434"/>
      <c r="K753" s="434"/>
      <c r="L753" s="434"/>
      <c r="M753" s="434"/>
      <c r="N753" s="434"/>
      <c r="O753" s="434"/>
      <c r="P753" s="434"/>
      <c r="Q753" s="434"/>
      <c r="R753" s="434"/>
      <c r="S753" s="434"/>
      <c r="T753" s="434"/>
      <c r="U753" s="434"/>
      <c r="V753" s="434"/>
      <c r="W753" s="434"/>
    </row>
    <row r="754">
      <c r="A754" s="434"/>
      <c r="B754" s="434"/>
      <c r="C754" s="434"/>
      <c r="D754" s="434"/>
      <c r="E754" s="434"/>
      <c r="F754" s="434"/>
      <c r="G754" s="434"/>
      <c r="H754" s="434"/>
      <c r="I754" s="434"/>
      <c r="J754" s="434"/>
      <c r="K754" s="434"/>
      <c r="L754" s="434"/>
      <c r="M754" s="434"/>
      <c r="N754" s="434"/>
      <c r="O754" s="434"/>
      <c r="P754" s="434"/>
      <c r="Q754" s="434"/>
      <c r="R754" s="434"/>
      <c r="S754" s="434"/>
      <c r="T754" s="434"/>
      <c r="U754" s="434"/>
      <c r="V754" s="434"/>
      <c r="W754" s="434"/>
    </row>
    <row r="755">
      <c r="A755" s="434"/>
      <c r="B755" s="434"/>
      <c r="C755" s="434"/>
      <c r="D755" s="434"/>
      <c r="E755" s="434"/>
      <c r="F755" s="434"/>
      <c r="G755" s="434"/>
      <c r="H755" s="434"/>
      <c r="I755" s="434"/>
      <c r="J755" s="434"/>
      <c r="K755" s="434"/>
      <c r="L755" s="434"/>
      <c r="M755" s="434"/>
      <c r="N755" s="434"/>
      <c r="O755" s="434"/>
      <c r="P755" s="434"/>
      <c r="Q755" s="434"/>
      <c r="R755" s="434"/>
      <c r="S755" s="434"/>
      <c r="T755" s="434"/>
      <c r="U755" s="434"/>
      <c r="V755" s="434"/>
      <c r="W755" s="434"/>
    </row>
    <row r="756">
      <c r="A756" s="434"/>
      <c r="B756" s="434"/>
      <c r="C756" s="434"/>
      <c r="D756" s="434"/>
      <c r="E756" s="434"/>
      <c r="F756" s="434"/>
      <c r="G756" s="434"/>
      <c r="H756" s="434"/>
      <c r="I756" s="434"/>
      <c r="J756" s="434"/>
      <c r="K756" s="434"/>
      <c r="L756" s="434"/>
      <c r="M756" s="434"/>
      <c r="N756" s="434"/>
      <c r="O756" s="434"/>
      <c r="P756" s="434"/>
      <c r="Q756" s="434"/>
      <c r="R756" s="434"/>
      <c r="S756" s="434"/>
      <c r="T756" s="434"/>
      <c r="U756" s="434"/>
      <c r="V756" s="434"/>
      <c r="W756" s="434"/>
    </row>
    <row r="757">
      <c r="A757" s="434"/>
      <c r="B757" s="434"/>
      <c r="C757" s="434"/>
      <c r="D757" s="434"/>
      <c r="E757" s="434"/>
      <c r="F757" s="434"/>
      <c r="G757" s="434"/>
      <c r="H757" s="434"/>
      <c r="I757" s="434"/>
      <c r="J757" s="434"/>
      <c r="K757" s="434"/>
      <c r="L757" s="434"/>
      <c r="M757" s="434"/>
      <c r="N757" s="434"/>
      <c r="O757" s="434"/>
      <c r="P757" s="434"/>
      <c r="Q757" s="434"/>
      <c r="R757" s="434"/>
      <c r="S757" s="434"/>
      <c r="T757" s="434"/>
      <c r="U757" s="434"/>
      <c r="V757" s="434"/>
      <c r="W757" s="434"/>
    </row>
    <row r="758">
      <c r="A758" s="434"/>
      <c r="B758" s="434"/>
      <c r="C758" s="434"/>
      <c r="D758" s="434"/>
      <c r="E758" s="434"/>
      <c r="F758" s="434"/>
      <c r="G758" s="434"/>
      <c r="H758" s="434"/>
      <c r="I758" s="434"/>
      <c r="J758" s="434"/>
      <c r="K758" s="434"/>
      <c r="L758" s="434"/>
      <c r="M758" s="434"/>
      <c r="N758" s="434"/>
      <c r="O758" s="434"/>
      <c r="P758" s="434"/>
      <c r="Q758" s="434"/>
      <c r="R758" s="434"/>
      <c r="S758" s="434"/>
      <c r="T758" s="434"/>
      <c r="U758" s="434"/>
      <c r="V758" s="434"/>
      <c r="W758" s="434"/>
    </row>
    <row r="759">
      <c r="A759" s="434"/>
      <c r="B759" s="434"/>
      <c r="C759" s="434"/>
      <c r="D759" s="434"/>
      <c r="E759" s="434"/>
      <c r="F759" s="434"/>
      <c r="G759" s="434"/>
      <c r="H759" s="434"/>
      <c r="I759" s="434"/>
      <c r="J759" s="434"/>
      <c r="K759" s="434"/>
      <c r="L759" s="434"/>
      <c r="M759" s="434"/>
      <c r="N759" s="434"/>
      <c r="O759" s="434"/>
      <c r="P759" s="434"/>
      <c r="Q759" s="434"/>
      <c r="R759" s="434"/>
      <c r="S759" s="434"/>
      <c r="T759" s="434"/>
      <c r="U759" s="434"/>
      <c r="V759" s="434"/>
      <c r="W759" s="434"/>
    </row>
    <row r="760">
      <c r="A760" s="434"/>
      <c r="B760" s="434"/>
      <c r="C760" s="434"/>
      <c r="D760" s="434"/>
      <c r="E760" s="434"/>
      <c r="F760" s="434"/>
      <c r="G760" s="434"/>
      <c r="H760" s="434"/>
      <c r="I760" s="434"/>
      <c r="J760" s="434"/>
      <c r="K760" s="434"/>
      <c r="L760" s="434"/>
      <c r="M760" s="434"/>
      <c r="N760" s="434"/>
      <c r="O760" s="434"/>
      <c r="P760" s="434"/>
      <c r="Q760" s="434"/>
      <c r="R760" s="434"/>
      <c r="S760" s="434"/>
      <c r="T760" s="434"/>
      <c r="U760" s="434"/>
      <c r="V760" s="434"/>
      <c r="W760" s="434"/>
    </row>
    <row r="761">
      <c r="A761" s="434"/>
      <c r="B761" s="434"/>
      <c r="C761" s="434"/>
      <c r="D761" s="434"/>
      <c r="E761" s="434"/>
      <c r="F761" s="434"/>
      <c r="G761" s="434"/>
      <c r="H761" s="434"/>
      <c r="I761" s="434"/>
      <c r="J761" s="434"/>
      <c r="K761" s="434"/>
      <c r="L761" s="434"/>
      <c r="M761" s="434"/>
      <c r="N761" s="434"/>
      <c r="O761" s="434"/>
      <c r="P761" s="434"/>
      <c r="Q761" s="434"/>
      <c r="R761" s="434"/>
      <c r="S761" s="434"/>
      <c r="T761" s="434"/>
      <c r="U761" s="434"/>
      <c r="V761" s="434"/>
      <c r="W761" s="434"/>
    </row>
    <row r="762">
      <c r="A762" s="434"/>
      <c r="B762" s="434"/>
      <c r="C762" s="434"/>
      <c r="D762" s="434"/>
      <c r="E762" s="434"/>
      <c r="F762" s="434"/>
      <c r="G762" s="434"/>
      <c r="H762" s="434"/>
      <c r="I762" s="434"/>
      <c r="J762" s="434"/>
      <c r="K762" s="434"/>
      <c r="L762" s="434"/>
      <c r="M762" s="434"/>
      <c r="N762" s="434"/>
      <c r="O762" s="434"/>
      <c r="P762" s="434"/>
      <c r="Q762" s="434"/>
      <c r="R762" s="434"/>
      <c r="S762" s="434"/>
      <c r="T762" s="434"/>
      <c r="U762" s="434"/>
      <c r="V762" s="434"/>
      <c r="W762" s="434"/>
    </row>
    <row r="763">
      <c r="A763" s="434"/>
      <c r="B763" s="434"/>
      <c r="C763" s="434"/>
      <c r="D763" s="434"/>
      <c r="E763" s="434"/>
      <c r="F763" s="434"/>
      <c r="G763" s="434"/>
      <c r="H763" s="434"/>
      <c r="I763" s="434"/>
      <c r="J763" s="434"/>
      <c r="K763" s="434"/>
      <c r="L763" s="434"/>
      <c r="M763" s="434"/>
      <c r="N763" s="434"/>
      <c r="O763" s="434"/>
      <c r="P763" s="434"/>
      <c r="Q763" s="434"/>
      <c r="R763" s="434"/>
      <c r="S763" s="434"/>
      <c r="T763" s="434"/>
      <c r="U763" s="434"/>
      <c r="V763" s="434"/>
      <c r="W763" s="434"/>
    </row>
    <row r="764">
      <c r="A764" s="434"/>
      <c r="B764" s="434"/>
      <c r="C764" s="434"/>
      <c r="D764" s="434"/>
      <c r="E764" s="434"/>
      <c r="F764" s="434"/>
      <c r="G764" s="434"/>
      <c r="H764" s="434"/>
      <c r="I764" s="434"/>
      <c r="J764" s="434"/>
      <c r="K764" s="434"/>
      <c r="L764" s="434"/>
      <c r="M764" s="434"/>
      <c r="N764" s="434"/>
      <c r="O764" s="434"/>
      <c r="P764" s="434"/>
      <c r="Q764" s="434"/>
      <c r="R764" s="434"/>
      <c r="S764" s="434"/>
      <c r="T764" s="434"/>
      <c r="U764" s="434"/>
      <c r="V764" s="434"/>
      <c r="W764" s="434"/>
    </row>
    <row r="765">
      <c r="A765" s="434"/>
      <c r="B765" s="434"/>
      <c r="C765" s="434"/>
      <c r="D765" s="434"/>
      <c r="E765" s="434"/>
      <c r="F765" s="434"/>
      <c r="G765" s="434"/>
      <c r="H765" s="434"/>
      <c r="I765" s="434"/>
      <c r="J765" s="434"/>
      <c r="K765" s="434"/>
      <c r="L765" s="434"/>
      <c r="M765" s="434"/>
      <c r="N765" s="434"/>
      <c r="O765" s="434"/>
      <c r="P765" s="434"/>
      <c r="Q765" s="434"/>
      <c r="R765" s="434"/>
      <c r="S765" s="434"/>
      <c r="T765" s="434"/>
      <c r="U765" s="434"/>
      <c r="V765" s="434"/>
      <c r="W765" s="434"/>
    </row>
    <row r="766">
      <c r="A766" s="434"/>
      <c r="B766" s="434"/>
      <c r="C766" s="434"/>
      <c r="D766" s="434"/>
      <c r="E766" s="434"/>
      <c r="F766" s="434"/>
      <c r="G766" s="434"/>
      <c r="H766" s="434"/>
      <c r="I766" s="434"/>
      <c r="J766" s="434"/>
      <c r="K766" s="434"/>
      <c r="L766" s="434"/>
      <c r="M766" s="434"/>
      <c r="N766" s="434"/>
      <c r="O766" s="434"/>
      <c r="P766" s="434"/>
      <c r="Q766" s="434"/>
      <c r="R766" s="434"/>
      <c r="S766" s="434"/>
      <c r="T766" s="434"/>
      <c r="U766" s="434"/>
      <c r="V766" s="434"/>
      <c r="W766" s="434"/>
    </row>
    <row r="767">
      <c r="A767" s="434"/>
      <c r="B767" s="434"/>
      <c r="C767" s="434"/>
      <c r="D767" s="434"/>
      <c r="E767" s="434"/>
      <c r="F767" s="434"/>
      <c r="G767" s="434"/>
      <c r="H767" s="434"/>
      <c r="I767" s="434"/>
      <c r="J767" s="434"/>
      <c r="K767" s="434"/>
      <c r="L767" s="434"/>
      <c r="M767" s="434"/>
      <c r="N767" s="434"/>
      <c r="O767" s="434"/>
      <c r="P767" s="434"/>
      <c r="Q767" s="434"/>
      <c r="R767" s="434"/>
      <c r="S767" s="434"/>
      <c r="T767" s="434"/>
      <c r="U767" s="434"/>
      <c r="V767" s="434"/>
      <c r="W767" s="434"/>
    </row>
    <row r="768">
      <c r="A768" s="434"/>
      <c r="B768" s="434"/>
      <c r="C768" s="434"/>
      <c r="D768" s="434"/>
      <c r="E768" s="434"/>
      <c r="F768" s="434"/>
      <c r="G768" s="434"/>
      <c r="H768" s="434"/>
      <c r="I768" s="434"/>
      <c r="J768" s="434"/>
      <c r="K768" s="434"/>
      <c r="L768" s="434"/>
      <c r="M768" s="434"/>
      <c r="N768" s="434"/>
      <c r="O768" s="434"/>
      <c r="P768" s="434"/>
      <c r="Q768" s="434"/>
      <c r="R768" s="434"/>
      <c r="S768" s="434"/>
      <c r="T768" s="434"/>
      <c r="U768" s="434"/>
      <c r="V768" s="434"/>
      <c r="W768" s="434"/>
    </row>
    <row r="769">
      <c r="A769" s="434"/>
      <c r="B769" s="434"/>
      <c r="C769" s="434"/>
      <c r="D769" s="434"/>
      <c r="E769" s="434"/>
      <c r="F769" s="434"/>
      <c r="G769" s="434"/>
      <c r="H769" s="434"/>
      <c r="I769" s="434"/>
      <c r="J769" s="434"/>
      <c r="K769" s="434"/>
      <c r="L769" s="434"/>
      <c r="M769" s="434"/>
      <c r="N769" s="434"/>
      <c r="O769" s="434"/>
      <c r="P769" s="434"/>
      <c r="Q769" s="434"/>
      <c r="R769" s="434"/>
      <c r="S769" s="434"/>
      <c r="T769" s="434"/>
      <c r="U769" s="434"/>
      <c r="V769" s="434"/>
      <c r="W769" s="434"/>
    </row>
    <row r="770">
      <c r="A770" s="434"/>
      <c r="B770" s="434"/>
      <c r="C770" s="434"/>
      <c r="D770" s="434"/>
      <c r="E770" s="434"/>
      <c r="F770" s="434"/>
      <c r="G770" s="434"/>
      <c r="H770" s="434"/>
      <c r="I770" s="434"/>
      <c r="J770" s="434"/>
      <c r="K770" s="434"/>
      <c r="L770" s="434"/>
      <c r="M770" s="434"/>
      <c r="N770" s="434"/>
      <c r="O770" s="434"/>
      <c r="P770" s="434"/>
      <c r="Q770" s="434"/>
      <c r="R770" s="434"/>
      <c r="S770" s="434"/>
      <c r="T770" s="434"/>
      <c r="U770" s="434"/>
      <c r="V770" s="434"/>
      <c r="W770" s="434"/>
    </row>
    <row r="771">
      <c r="A771" s="434"/>
      <c r="B771" s="434"/>
      <c r="C771" s="434"/>
      <c r="D771" s="434"/>
      <c r="E771" s="434"/>
      <c r="F771" s="434"/>
      <c r="G771" s="434"/>
      <c r="H771" s="434"/>
      <c r="I771" s="434"/>
      <c r="J771" s="434"/>
      <c r="K771" s="434"/>
      <c r="L771" s="434"/>
      <c r="M771" s="434"/>
      <c r="N771" s="434"/>
      <c r="O771" s="434"/>
      <c r="P771" s="434"/>
      <c r="Q771" s="434"/>
      <c r="R771" s="434"/>
      <c r="S771" s="434"/>
      <c r="T771" s="434"/>
      <c r="U771" s="434"/>
      <c r="V771" s="434"/>
      <c r="W771" s="434"/>
    </row>
    <row r="772">
      <c r="A772" s="434"/>
      <c r="B772" s="434"/>
      <c r="C772" s="434"/>
      <c r="D772" s="434"/>
      <c r="E772" s="434"/>
      <c r="F772" s="434"/>
      <c r="G772" s="434"/>
      <c r="H772" s="434"/>
      <c r="I772" s="434"/>
      <c r="J772" s="434"/>
      <c r="K772" s="434"/>
      <c r="L772" s="434"/>
      <c r="M772" s="434"/>
      <c r="N772" s="434"/>
      <c r="O772" s="434"/>
      <c r="P772" s="434"/>
      <c r="Q772" s="434"/>
      <c r="R772" s="434"/>
      <c r="S772" s="434"/>
      <c r="T772" s="434"/>
      <c r="U772" s="434"/>
      <c r="V772" s="434"/>
      <c r="W772" s="434"/>
    </row>
    <row r="773">
      <c r="A773" s="434"/>
      <c r="B773" s="434"/>
      <c r="C773" s="434"/>
      <c r="D773" s="434"/>
      <c r="E773" s="434"/>
      <c r="F773" s="434"/>
      <c r="G773" s="434"/>
      <c r="H773" s="434"/>
      <c r="I773" s="434"/>
      <c r="J773" s="434"/>
      <c r="K773" s="434"/>
      <c r="L773" s="434"/>
      <c r="M773" s="434"/>
      <c r="N773" s="434"/>
      <c r="O773" s="434"/>
      <c r="P773" s="434"/>
      <c r="Q773" s="434"/>
      <c r="R773" s="434"/>
      <c r="S773" s="434"/>
      <c r="T773" s="434"/>
      <c r="U773" s="434"/>
      <c r="V773" s="434"/>
      <c r="W773" s="434"/>
    </row>
    <row r="774">
      <c r="A774" s="434"/>
      <c r="B774" s="434"/>
      <c r="C774" s="434"/>
      <c r="D774" s="434"/>
      <c r="E774" s="434"/>
      <c r="F774" s="434"/>
      <c r="G774" s="434"/>
      <c r="H774" s="434"/>
      <c r="I774" s="434"/>
      <c r="J774" s="434"/>
      <c r="K774" s="434"/>
      <c r="L774" s="434"/>
      <c r="M774" s="434"/>
      <c r="N774" s="434"/>
      <c r="O774" s="434"/>
      <c r="P774" s="434"/>
      <c r="Q774" s="434"/>
      <c r="R774" s="434"/>
      <c r="S774" s="434"/>
      <c r="T774" s="434"/>
      <c r="U774" s="434"/>
      <c r="V774" s="434"/>
      <c r="W774" s="434"/>
    </row>
    <row r="775">
      <c r="A775" s="434"/>
      <c r="B775" s="434"/>
      <c r="C775" s="434"/>
      <c r="D775" s="434"/>
      <c r="E775" s="434"/>
      <c r="F775" s="434"/>
      <c r="G775" s="434"/>
      <c r="H775" s="434"/>
      <c r="I775" s="434"/>
      <c r="J775" s="434"/>
      <c r="K775" s="434"/>
      <c r="L775" s="434"/>
      <c r="M775" s="434"/>
      <c r="N775" s="434"/>
      <c r="O775" s="434"/>
      <c r="P775" s="434"/>
      <c r="Q775" s="434"/>
      <c r="R775" s="434"/>
      <c r="S775" s="434"/>
      <c r="T775" s="434"/>
      <c r="U775" s="434"/>
      <c r="V775" s="434"/>
      <c r="W775" s="434"/>
    </row>
    <row r="776">
      <c r="A776" s="434"/>
      <c r="B776" s="434"/>
      <c r="C776" s="434"/>
      <c r="D776" s="434"/>
      <c r="E776" s="434"/>
      <c r="F776" s="434"/>
      <c r="G776" s="434"/>
      <c r="H776" s="434"/>
      <c r="I776" s="434"/>
      <c r="J776" s="434"/>
      <c r="K776" s="434"/>
      <c r="L776" s="434"/>
      <c r="M776" s="434"/>
      <c r="N776" s="434"/>
      <c r="O776" s="434"/>
      <c r="P776" s="434"/>
      <c r="Q776" s="434"/>
      <c r="R776" s="434"/>
      <c r="S776" s="434"/>
      <c r="T776" s="434"/>
      <c r="U776" s="434"/>
      <c r="V776" s="434"/>
      <c r="W776" s="434"/>
    </row>
    <row r="777">
      <c r="A777" s="434"/>
      <c r="B777" s="434"/>
      <c r="C777" s="434"/>
      <c r="D777" s="434"/>
      <c r="E777" s="434"/>
      <c r="F777" s="434"/>
      <c r="G777" s="434"/>
      <c r="H777" s="434"/>
      <c r="I777" s="434"/>
      <c r="J777" s="434"/>
      <c r="K777" s="434"/>
      <c r="L777" s="434"/>
      <c r="M777" s="434"/>
      <c r="N777" s="434"/>
      <c r="O777" s="434"/>
      <c r="P777" s="434"/>
      <c r="Q777" s="434"/>
      <c r="R777" s="434"/>
      <c r="S777" s="434"/>
      <c r="T777" s="434"/>
      <c r="U777" s="434"/>
      <c r="V777" s="434"/>
      <c r="W777" s="434"/>
    </row>
    <row r="778">
      <c r="A778" s="434"/>
      <c r="B778" s="434"/>
      <c r="C778" s="434"/>
      <c r="D778" s="434"/>
      <c r="E778" s="434"/>
      <c r="F778" s="434"/>
      <c r="G778" s="434"/>
      <c r="H778" s="434"/>
      <c r="I778" s="434"/>
      <c r="J778" s="434"/>
      <c r="K778" s="434"/>
      <c r="L778" s="434"/>
      <c r="M778" s="434"/>
      <c r="N778" s="434"/>
      <c r="O778" s="434"/>
      <c r="P778" s="434"/>
      <c r="Q778" s="434"/>
      <c r="R778" s="434"/>
      <c r="S778" s="434"/>
      <c r="T778" s="434"/>
      <c r="U778" s="434"/>
      <c r="V778" s="434"/>
      <c r="W778" s="434"/>
    </row>
    <row r="779">
      <c r="A779" s="434"/>
      <c r="B779" s="434"/>
      <c r="C779" s="434"/>
      <c r="D779" s="434"/>
      <c r="E779" s="434"/>
      <c r="F779" s="434"/>
      <c r="G779" s="434"/>
      <c r="H779" s="434"/>
      <c r="I779" s="434"/>
      <c r="J779" s="434"/>
      <c r="K779" s="434"/>
      <c r="L779" s="434"/>
      <c r="M779" s="434"/>
      <c r="N779" s="434"/>
      <c r="O779" s="434"/>
      <c r="P779" s="434"/>
      <c r="Q779" s="434"/>
      <c r="R779" s="434"/>
      <c r="S779" s="434"/>
      <c r="T779" s="434"/>
      <c r="U779" s="434"/>
      <c r="V779" s="434"/>
      <c r="W779" s="434"/>
    </row>
    <row r="780">
      <c r="A780" s="434"/>
      <c r="B780" s="434"/>
      <c r="C780" s="434"/>
      <c r="D780" s="434"/>
      <c r="E780" s="434"/>
      <c r="F780" s="434"/>
      <c r="G780" s="434"/>
      <c r="H780" s="434"/>
      <c r="I780" s="434"/>
      <c r="J780" s="434"/>
      <c r="K780" s="434"/>
      <c r="L780" s="434"/>
      <c r="M780" s="434"/>
      <c r="N780" s="434"/>
      <c r="O780" s="434"/>
      <c r="P780" s="434"/>
      <c r="Q780" s="434"/>
      <c r="R780" s="434"/>
      <c r="S780" s="434"/>
      <c r="T780" s="434"/>
      <c r="U780" s="434"/>
      <c r="V780" s="434"/>
      <c r="W780" s="434"/>
    </row>
    <row r="781">
      <c r="A781" s="434"/>
      <c r="B781" s="434"/>
      <c r="C781" s="434"/>
      <c r="D781" s="434"/>
      <c r="E781" s="434"/>
      <c r="F781" s="434"/>
      <c r="G781" s="434"/>
      <c r="H781" s="434"/>
      <c r="I781" s="434"/>
      <c r="J781" s="434"/>
      <c r="K781" s="434"/>
      <c r="L781" s="434"/>
      <c r="M781" s="434"/>
      <c r="N781" s="434"/>
      <c r="O781" s="434"/>
      <c r="P781" s="434"/>
      <c r="Q781" s="434"/>
      <c r="R781" s="434"/>
      <c r="S781" s="434"/>
      <c r="T781" s="434"/>
      <c r="U781" s="434"/>
      <c r="V781" s="434"/>
      <c r="W781" s="434"/>
    </row>
    <row r="782">
      <c r="A782" s="434"/>
      <c r="B782" s="434"/>
      <c r="C782" s="434"/>
      <c r="D782" s="434"/>
      <c r="E782" s="434"/>
      <c r="F782" s="434"/>
      <c r="G782" s="434"/>
      <c r="H782" s="434"/>
      <c r="I782" s="434"/>
      <c r="J782" s="434"/>
      <c r="K782" s="434"/>
      <c r="L782" s="434"/>
      <c r="M782" s="434"/>
      <c r="N782" s="434"/>
      <c r="O782" s="434"/>
      <c r="P782" s="434"/>
      <c r="Q782" s="434"/>
      <c r="R782" s="434"/>
      <c r="S782" s="434"/>
      <c r="T782" s="434"/>
      <c r="U782" s="434"/>
      <c r="V782" s="434"/>
      <c r="W782" s="434"/>
    </row>
    <row r="783">
      <c r="A783" s="434"/>
      <c r="B783" s="434"/>
      <c r="C783" s="434"/>
      <c r="D783" s="434"/>
      <c r="E783" s="434"/>
      <c r="F783" s="434"/>
      <c r="G783" s="434"/>
      <c r="H783" s="434"/>
      <c r="I783" s="434"/>
      <c r="J783" s="434"/>
      <c r="K783" s="434"/>
      <c r="L783" s="434"/>
      <c r="M783" s="434"/>
      <c r="N783" s="434"/>
      <c r="O783" s="434"/>
      <c r="P783" s="434"/>
      <c r="Q783" s="434"/>
      <c r="R783" s="434"/>
      <c r="S783" s="434"/>
      <c r="T783" s="434"/>
      <c r="U783" s="434"/>
      <c r="V783" s="434"/>
      <c r="W783" s="434"/>
    </row>
    <row r="784">
      <c r="A784" s="434"/>
      <c r="B784" s="434"/>
      <c r="C784" s="434"/>
      <c r="D784" s="434"/>
      <c r="E784" s="434"/>
      <c r="F784" s="434"/>
      <c r="G784" s="434"/>
      <c r="H784" s="434"/>
      <c r="I784" s="434"/>
      <c r="J784" s="434"/>
      <c r="K784" s="434"/>
      <c r="L784" s="434"/>
      <c r="M784" s="434"/>
      <c r="N784" s="434"/>
      <c r="O784" s="434"/>
      <c r="P784" s="434"/>
      <c r="Q784" s="434"/>
      <c r="R784" s="434"/>
      <c r="S784" s="434"/>
      <c r="T784" s="434"/>
      <c r="U784" s="434"/>
      <c r="V784" s="434"/>
      <c r="W784" s="434"/>
    </row>
    <row r="785">
      <c r="A785" s="434"/>
      <c r="B785" s="434"/>
      <c r="C785" s="434"/>
      <c r="D785" s="434"/>
      <c r="E785" s="434"/>
      <c r="F785" s="434"/>
      <c r="G785" s="434"/>
      <c r="H785" s="434"/>
      <c r="I785" s="434"/>
      <c r="J785" s="434"/>
      <c r="K785" s="434"/>
      <c r="L785" s="434"/>
      <c r="M785" s="434"/>
      <c r="N785" s="434"/>
      <c r="O785" s="434"/>
      <c r="P785" s="434"/>
      <c r="Q785" s="434"/>
      <c r="R785" s="434"/>
      <c r="S785" s="434"/>
      <c r="T785" s="434"/>
      <c r="U785" s="434"/>
      <c r="V785" s="434"/>
      <c r="W785" s="434"/>
    </row>
    <row r="786">
      <c r="A786" s="434"/>
      <c r="B786" s="434"/>
      <c r="C786" s="434"/>
      <c r="D786" s="434"/>
      <c r="E786" s="434"/>
      <c r="F786" s="434"/>
      <c r="G786" s="434"/>
      <c r="H786" s="434"/>
      <c r="I786" s="434"/>
      <c r="J786" s="434"/>
      <c r="K786" s="434"/>
      <c r="L786" s="434"/>
      <c r="M786" s="434"/>
      <c r="N786" s="434"/>
      <c r="O786" s="434"/>
      <c r="P786" s="434"/>
      <c r="Q786" s="434"/>
      <c r="R786" s="434"/>
      <c r="S786" s="434"/>
      <c r="T786" s="434"/>
      <c r="U786" s="434"/>
      <c r="V786" s="434"/>
      <c r="W786" s="434"/>
    </row>
    <row r="787">
      <c r="A787" s="434"/>
      <c r="B787" s="434"/>
      <c r="C787" s="434"/>
      <c r="D787" s="434"/>
      <c r="E787" s="434"/>
      <c r="F787" s="434"/>
      <c r="G787" s="434"/>
      <c r="H787" s="434"/>
      <c r="I787" s="434"/>
      <c r="J787" s="434"/>
      <c r="K787" s="434"/>
      <c r="L787" s="434"/>
      <c r="M787" s="434"/>
      <c r="N787" s="434"/>
      <c r="O787" s="434"/>
      <c r="P787" s="434"/>
      <c r="Q787" s="434"/>
      <c r="R787" s="434"/>
      <c r="S787" s="434"/>
      <c r="T787" s="434"/>
      <c r="U787" s="434"/>
      <c r="V787" s="434"/>
      <c r="W787" s="434"/>
    </row>
    <row r="788">
      <c r="A788" s="434"/>
      <c r="B788" s="434"/>
      <c r="C788" s="434"/>
      <c r="D788" s="434"/>
      <c r="E788" s="434"/>
      <c r="F788" s="434"/>
      <c r="G788" s="434"/>
      <c r="H788" s="434"/>
      <c r="I788" s="434"/>
      <c r="J788" s="434"/>
      <c r="K788" s="434"/>
      <c r="L788" s="434"/>
      <c r="M788" s="434"/>
      <c r="N788" s="434"/>
      <c r="O788" s="434"/>
      <c r="P788" s="434"/>
      <c r="Q788" s="434"/>
      <c r="R788" s="434"/>
      <c r="S788" s="434"/>
      <c r="T788" s="434"/>
      <c r="U788" s="434"/>
      <c r="V788" s="434"/>
      <c r="W788" s="434"/>
    </row>
    <row r="789">
      <c r="A789" s="434"/>
      <c r="B789" s="434"/>
      <c r="C789" s="434"/>
      <c r="D789" s="434"/>
      <c r="E789" s="434"/>
      <c r="F789" s="434"/>
      <c r="G789" s="434"/>
      <c r="H789" s="434"/>
      <c r="I789" s="434"/>
      <c r="J789" s="434"/>
      <c r="K789" s="434"/>
      <c r="L789" s="434"/>
      <c r="M789" s="434"/>
      <c r="N789" s="434"/>
      <c r="O789" s="434"/>
      <c r="P789" s="434"/>
      <c r="Q789" s="434"/>
      <c r="R789" s="434"/>
      <c r="S789" s="434"/>
      <c r="T789" s="434"/>
      <c r="U789" s="434"/>
      <c r="V789" s="434"/>
      <c r="W789" s="434"/>
    </row>
    <row r="790">
      <c r="A790" s="434"/>
      <c r="B790" s="434"/>
      <c r="C790" s="434"/>
      <c r="D790" s="434"/>
      <c r="E790" s="434"/>
      <c r="F790" s="434"/>
      <c r="G790" s="434"/>
      <c r="H790" s="434"/>
      <c r="I790" s="434"/>
      <c r="J790" s="434"/>
      <c r="K790" s="434"/>
      <c r="L790" s="434"/>
      <c r="M790" s="434"/>
      <c r="N790" s="434"/>
      <c r="O790" s="434"/>
      <c r="P790" s="434"/>
      <c r="Q790" s="434"/>
      <c r="R790" s="434"/>
      <c r="S790" s="434"/>
      <c r="T790" s="434"/>
      <c r="U790" s="434"/>
      <c r="V790" s="434"/>
      <c r="W790" s="434"/>
    </row>
    <row r="791">
      <c r="A791" s="434"/>
      <c r="B791" s="434"/>
      <c r="C791" s="434"/>
      <c r="D791" s="434"/>
      <c r="E791" s="434"/>
      <c r="F791" s="434"/>
      <c r="G791" s="434"/>
      <c r="H791" s="434"/>
      <c r="I791" s="434"/>
      <c r="J791" s="434"/>
      <c r="K791" s="434"/>
      <c r="L791" s="434"/>
      <c r="M791" s="434"/>
      <c r="N791" s="434"/>
      <c r="O791" s="434"/>
      <c r="P791" s="434"/>
      <c r="Q791" s="434"/>
      <c r="R791" s="434"/>
      <c r="S791" s="434"/>
      <c r="T791" s="434"/>
      <c r="U791" s="434"/>
      <c r="V791" s="434"/>
      <c r="W791" s="434"/>
    </row>
    <row r="792">
      <c r="A792" s="434"/>
      <c r="B792" s="434"/>
      <c r="C792" s="434"/>
      <c r="D792" s="434"/>
      <c r="E792" s="434"/>
      <c r="F792" s="434"/>
      <c r="G792" s="434"/>
      <c r="H792" s="434"/>
      <c r="I792" s="434"/>
      <c r="J792" s="434"/>
      <c r="K792" s="434"/>
      <c r="L792" s="434"/>
      <c r="M792" s="434"/>
      <c r="N792" s="434"/>
      <c r="O792" s="434"/>
      <c r="P792" s="434"/>
      <c r="Q792" s="434"/>
      <c r="R792" s="434"/>
      <c r="S792" s="434"/>
      <c r="T792" s="434"/>
      <c r="U792" s="434"/>
      <c r="V792" s="434"/>
      <c r="W792" s="434"/>
    </row>
    <row r="793">
      <c r="A793" s="434"/>
      <c r="B793" s="434"/>
      <c r="C793" s="434"/>
      <c r="D793" s="434"/>
      <c r="E793" s="434"/>
      <c r="F793" s="434"/>
      <c r="G793" s="434"/>
      <c r="H793" s="434"/>
      <c r="I793" s="434"/>
      <c r="J793" s="434"/>
      <c r="K793" s="434"/>
      <c r="L793" s="434"/>
      <c r="M793" s="434"/>
      <c r="N793" s="434"/>
      <c r="O793" s="434"/>
      <c r="P793" s="434"/>
      <c r="Q793" s="434"/>
      <c r="R793" s="434"/>
      <c r="S793" s="434"/>
      <c r="T793" s="434"/>
      <c r="U793" s="434"/>
      <c r="V793" s="434"/>
      <c r="W793" s="434"/>
    </row>
    <row r="794">
      <c r="A794" s="434"/>
      <c r="B794" s="434"/>
      <c r="C794" s="434"/>
      <c r="D794" s="434"/>
      <c r="E794" s="434"/>
      <c r="F794" s="434"/>
      <c r="G794" s="434"/>
      <c r="H794" s="434"/>
      <c r="I794" s="434"/>
      <c r="J794" s="434"/>
      <c r="K794" s="434"/>
      <c r="L794" s="434"/>
      <c r="M794" s="434"/>
      <c r="N794" s="434"/>
      <c r="O794" s="434"/>
      <c r="P794" s="434"/>
      <c r="Q794" s="434"/>
      <c r="R794" s="434"/>
      <c r="S794" s="434"/>
      <c r="T794" s="434"/>
      <c r="U794" s="434"/>
      <c r="V794" s="434"/>
      <c r="W794" s="434"/>
    </row>
    <row r="795">
      <c r="A795" s="434"/>
      <c r="B795" s="434"/>
      <c r="C795" s="434"/>
      <c r="D795" s="434"/>
      <c r="E795" s="434"/>
      <c r="F795" s="434"/>
      <c r="G795" s="434"/>
      <c r="H795" s="434"/>
      <c r="I795" s="434"/>
      <c r="J795" s="434"/>
      <c r="K795" s="434"/>
      <c r="L795" s="434"/>
      <c r="M795" s="434"/>
      <c r="N795" s="434"/>
      <c r="O795" s="434"/>
      <c r="P795" s="434"/>
      <c r="Q795" s="434"/>
      <c r="R795" s="434"/>
      <c r="S795" s="434"/>
      <c r="T795" s="434"/>
      <c r="U795" s="434"/>
      <c r="V795" s="434"/>
      <c r="W795" s="434"/>
    </row>
    <row r="796">
      <c r="A796" s="434"/>
      <c r="B796" s="434"/>
      <c r="C796" s="434"/>
      <c r="D796" s="434"/>
      <c r="E796" s="434"/>
      <c r="F796" s="434"/>
      <c r="G796" s="434"/>
      <c r="H796" s="434"/>
      <c r="I796" s="434"/>
      <c r="J796" s="434"/>
      <c r="K796" s="434"/>
      <c r="L796" s="434"/>
      <c r="M796" s="434"/>
      <c r="N796" s="434"/>
      <c r="O796" s="434"/>
      <c r="P796" s="434"/>
      <c r="Q796" s="434"/>
      <c r="R796" s="434"/>
      <c r="S796" s="434"/>
      <c r="T796" s="434"/>
      <c r="U796" s="434"/>
      <c r="V796" s="434"/>
      <c r="W796" s="434"/>
    </row>
    <row r="797">
      <c r="A797" s="434"/>
      <c r="B797" s="434"/>
      <c r="C797" s="434"/>
      <c r="D797" s="434"/>
      <c r="E797" s="434"/>
      <c r="F797" s="434"/>
      <c r="G797" s="434"/>
      <c r="H797" s="434"/>
      <c r="I797" s="434"/>
      <c r="J797" s="434"/>
      <c r="K797" s="434"/>
      <c r="L797" s="434"/>
      <c r="M797" s="434"/>
      <c r="N797" s="434"/>
      <c r="O797" s="434"/>
      <c r="P797" s="434"/>
      <c r="Q797" s="434"/>
      <c r="R797" s="434"/>
      <c r="S797" s="434"/>
      <c r="T797" s="434"/>
      <c r="U797" s="434"/>
      <c r="V797" s="434"/>
      <c r="W797" s="434"/>
    </row>
    <row r="798">
      <c r="A798" s="434"/>
      <c r="B798" s="434"/>
      <c r="C798" s="434"/>
      <c r="D798" s="434"/>
      <c r="E798" s="434"/>
      <c r="F798" s="434"/>
      <c r="G798" s="434"/>
      <c r="H798" s="434"/>
      <c r="I798" s="434"/>
      <c r="J798" s="434"/>
      <c r="K798" s="434"/>
      <c r="L798" s="434"/>
      <c r="M798" s="434"/>
      <c r="N798" s="434"/>
      <c r="O798" s="434"/>
      <c r="P798" s="434"/>
      <c r="Q798" s="434"/>
      <c r="R798" s="434"/>
      <c r="S798" s="434"/>
      <c r="T798" s="434"/>
      <c r="U798" s="434"/>
      <c r="V798" s="434"/>
      <c r="W798" s="434"/>
    </row>
    <row r="799">
      <c r="A799" s="434"/>
      <c r="B799" s="434"/>
      <c r="C799" s="434"/>
      <c r="D799" s="434"/>
      <c r="E799" s="434"/>
      <c r="F799" s="434"/>
      <c r="G799" s="434"/>
      <c r="H799" s="434"/>
      <c r="I799" s="434"/>
      <c r="J799" s="434"/>
      <c r="K799" s="434"/>
      <c r="L799" s="434"/>
      <c r="M799" s="434"/>
      <c r="N799" s="434"/>
      <c r="O799" s="434"/>
      <c r="P799" s="434"/>
      <c r="Q799" s="434"/>
      <c r="R799" s="434"/>
      <c r="S799" s="434"/>
      <c r="T799" s="434"/>
      <c r="U799" s="434"/>
      <c r="V799" s="434"/>
      <c r="W799" s="434"/>
    </row>
    <row r="800">
      <c r="A800" s="434"/>
      <c r="B800" s="434"/>
      <c r="C800" s="434"/>
      <c r="D800" s="434"/>
      <c r="E800" s="434"/>
      <c r="F800" s="434"/>
      <c r="G800" s="434"/>
      <c r="H800" s="434"/>
      <c r="I800" s="434"/>
      <c r="J800" s="434"/>
      <c r="K800" s="434"/>
      <c r="L800" s="434"/>
      <c r="M800" s="434"/>
      <c r="N800" s="434"/>
      <c r="O800" s="434"/>
      <c r="P800" s="434"/>
      <c r="Q800" s="434"/>
      <c r="R800" s="434"/>
      <c r="S800" s="434"/>
      <c r="T800" s="434"/>
      <c r="U800" s="434"/>
      <c r="V800" s="434"/>
      <c r="W800" s="434"/>
    </row>
    <row r="801">
      <c r="A801" s="434"/>
      <c r="B801" s="434"/>
      <c r="C801" s="434"/>
      <c r="D801" s="434"/>
      <c r="E801" s="434"/>
      <c r="F801" s="434"/>
      <c r="G801" s="434"/>
      <c r="H801" s="434"/>
      <c r="I801" s="434"/>
      <c r="J801" s="434"/>
      <c r="K801" s="434"/>
      <c r="L801" s="434"/>
      <c r="M801" s="434"/>
      <c r="N801" s="434"/>
      <c r="O801" s="434"/>
      <c r="P801" s="434"/>
      <c r="Q801" s="434"/>
      <c r="R801" s="434"/>
      <c r="S801" s="434"/>
      <c r="T801" s="434"/>
      <c r="U801" s="434"/>
      <c r="V801" s="434"/>
      <c r="W801" s="434"/>
    </row>
    <row r="802">
      <c r="A802" s="434"/>
      <c r="B802" s="434"/>
      <c r="C802" s="434"/>
      <c r="D802" s="434"/>
      <c r="E802" s="434"/>
      <c r="F802" s="434"/>
      <c r="G802" s="434"/>
      <c r="H802" s="434"/>
      <c r="I802" s="434"/>
      <c r="J802" s="434"/>
      <c r="K802" s="434"/>
      <c r="L802" s="434"/>
      <c r="M802" s="434"/>
      <c r="N802" s="434"/>
      <c r="O802" s="434"/>
      <c r="P802" s="434"/>
      <c r="Q802" s="434"/>
      <c r="R802" s="434"/>
      <c r="S802" s="434"/>
      <c r="T802" s="434"/>
      <c r="U802" s="434"/>
      <c r="V802" s="434"/>
      <c r="W802" s="434"/>
    </row>
    <row r="803">
      <c r="A803" s="434"/>
      <c r="B803" s="434"/>
      <c r="C803" s="434"/>
      <c r="D803" s="434"/>
      <c r="E803" s="434"/>
      <c r="F803" s="434"/>
      <c r="G803" s="434"/>
      <c r="H803" s="434"/>
      <c r="I803" s="434"/>
      <c r="J803" s="434"/>
      <c r="K803" s="434"/>
      <c r="L803" s="434"/>
      <c r="M803" s="434"/>
      <c r="N803" s="434"/>
      <c r="O803" s="434"/>
      <c r="P803" s="434"/>
      <c r="Q803" s="434"/>
      <c r="R803" s="434"/>
      <c r="S803" s="434"/>
      <c r="T803" s="434"/>
      <c r="U803" s="434"/>
      <c r="V803" s="434"/>
      <c r="W803" s="434"/>
    </row>
    <row r="804">
      <c r="A804" s="434"/>
      <c r="B804" s="434"/>
      <c r="C804" s="434"/>
      <c r="D804" s="434"/>
      <c r="E804" s="434"/>
      <c r="F804" s="434"/>
      <c r="G804" s="434"/>
      <c r="H804" s="434"/>
      <c r="I804" s="434"/>
      <c r="J804" s="434"/>
      <c r="K804" s="434"/>
      <c r="L804" s="434"/>
      <c r="M804" s="434"/>
      <c r="N804" s="434"/>
      <c r="O804" s="434"/>
      <c r="P804" s="434"/>
      <c r="Q804" s="434"/>
      <c r="R804" s="434"/>
      <c r="S804" s="434"/>
      <c r="T804" s="434"/>
      <c r="U804" s="434"/>
      <c r="V804" s="434"/>
      <c r="W804" s="434"/>
    </row>
    <row r="805">
      <c r="A805" s="434"/>
      <c r="B805" s="434"/>
      <c r="C805" s="434"/>
      <c r="D805" s="434"/>
      <c r="E805" s="434"/>
      <c r="F805" s="434"/>
      <c r="G805" s="434"/>
      <c r="H805" s="434"/>
      <c r="I805" s="434"/>
      <c r="J805" s="434"/>
      <c r="K805" s="434"/>
      <c r="L805" s="434"/>
      <c r="M805" s="434"/>
      <c r="N805" s="434"/>
      <c r="O805" s="434"/>
      <c r="P805" s="434"/>
      <c r="Q805" s="434"/>
      <c r="R805" s="434"/>
      <c r="S805" s="434"/>
      <c r="T805" s="434"/>
      <c r="U805" s="434"/>
      <c r="V805" s="434"/>
      <c r="W805" s="434"/>
    </row>
    <row r="806">
      <c r="A806" s="434"/>
      <c r="B806" s="434"/>
      <c r="C806" s="434"/>
      <c r="D806" s="434"/>
      <c r="E806" s="434"/>
      <c r="F806" s="434"/>
      <c r="G806" s="434"/>
      <c r="H806" s="434"/>
      <c r="I806" s="434"/>
      <c r="J806" s="434"/>
      <c r="K806" s="434"/>
      <c r="L806" s="434"/>
      <c r="M806" s="434"/>
      <c r="N806" s="434"/>
      <c r="O806" s="434"/>
      <c r="P806" s="434"/>
      <c r="Q806" s="434"/>
      <c r="R806" s="434"/>
      <c r="S806" s="434"/>
      <c r="T806" s="434"/>
      <c r="U806" s="434"/>
      <c r="V806" s="434"/>
      <c r="W806" s="434"/>
    </row>
    <row r="807">
      <c r="A807" s="434"/>
      <c r="B807" s="434"/>
      <c r="C807" s="434"/>
      <c r="D807" s="434"/>
      <c r="E807" s="434"/>
      <c r="F807" s="434"/>
      <c r="G807" s="434"/>
      <c r="H807" s="434"/>
      <c r="I807" s="434"/>
      <c r="J807" s="434"/>
      <c r="K807" s="434"/>
      <c r="L807" s="434"/>
      <c r="M807" s="434"/>
      <c r="N807" s="434"/>
      <c r="O807" s="434"/>
      <c r="P807" s="434"/>
      <c r="Q807" s="434"/>
      <c r="R807" s="434"/>
      <c r="S807" s="434"/>
      <c r="T807" s="434"/>
      <c r="U807" s="434"/>
      <c r="V807" s="434"/>
      <c r="W807" s="434"/>
    </row>
    <row r="808">
      <c r="A808" s="434"/>
      <c r="B808" s="434"/>
      <c r="C808" s="434"/>
      <c r="D808" s="434"/>
      <c r="E808" s="434"/>
      <c r="F808" s="434"/>
      <c r="G808" s="434"/>
      <c r="H808" s="434"/>
      <c r="I808" s="434"/>
      <c r="J808" s="434"/>
      <c r="K808" s="434"/>
      <c r="L808" s="434"/>
      <c r="M808" s="434"/>
      <c r="N808" s="434"/>
      <c r="O808" s="434"/>
      <c r="P808" s="434"/>
      <c r="Q808" s="434"/>
      <c r="R808" s="434"/>
      <c r="S808" s="434"/>
      <c r="T808" s="434"/>
      <c r="U808" s="434"/>
      <c r="V808" s="434"/>
      <c r="W808" s="434"/>
    </row>
    <row r="809">
      <c r="A809" s="434"/>
      <c r="B809" s="434"/>
      <c r="C809" s="434"/>
      <c r="D809" s="434"/>
      <c r="E809" s="434"/>
      <c r="F809" s="434"/>
      <c r="G809" s="434"/>
      <c r="H809" s="434"/>
      <c r="I809" s="434"/>
      <c r="J809" s="434"/>
      <c r="K809" s="434"/>
      <c r="L809" s="434"/>
      <c r="M809" s="434"/>
      <c r="N809" s="434"/>
      <c r="O809" s="434"/>
      <c r="P809" s="434"/>
      <c r="Q809" s="434"/>
      <c r="R809" s="434"/>
      <c r="S809" s="434"/>
      <c r="T809" s="434"/>
      <c r="U809" s="434"/>
      <c r="V809" s="434"/>
      <c r="W809" s="434"/>
    </row>
    <row r="810">
      <c r="A810" s="434"/>
      <c r="B810" s="434"/>
      <c r="C810" s="434"/>
      <c r="D810" s="434"/>
      <c r="E810" s="434"/>
      <c r="F810" s="434"/>
      <c r="G810" s="434"/>
      <c r="H810" s="434"/>
      <c r="I810" s="434"/>
      <c r="J810" s="434"/>
      <c r="K810" s="434"/>
      <c r="L810" s="434"/>
      <c r="M810" s="434"/>
      <c r="N810" s="434"/>
      <c r="O810" s="434"/>
      <c r="P810" s="434"/>
      <c r="Q810" s="434"/>
      <c r="R810" s="434"/>
      <c r="S810" s="434"/>
      <c r="T810" s="434"/>
      <c r="U810" s="434"/>
      <c r="V810" s="434"/>
      <c r="W810" s="434"/>
    </row>
    <row r="811">
      <c r="A811" s="434"/>
      <c r="B811" s="434"/>
      <c r="C811" s="434"/>
      <c r="D811" s="434"/>
      <c r="E811" s="434"/>
      <c r="F811" s="434"/>
      <c r="G811" s="434"/>
      <c r="H811" s="434"/>
      <c r="I811" s="434"/>
      <c r="J811" s="434"/>
      <c r="K811" s="434"/>
      <c r="L811" s="434"/>
      <c r="M811" s="434"/>
      <c r="N811" s="434"/>
      <c r="O811" s="434"/>
      <c r="P811" s="434"/>
      <c r="Q811" s="434"/>
      <c r="R811" s="434"/>
      <c r="S811" s="434"/>
      <c r="T811" s="434"/>
      <c r="U811" s="434"/>
      <c r="V811" s="434"/>
      <c r="W811" s="434"/>
    </row>
    <row r="812">
      <c r="A812" s="434"/>
      <c r="B812" s="434"/>
      <c r="C812" s="434"/>
      <c r="D812" s="434"/>
      <c r="E812" s="434"/>
      <c r="F812" s="434"/>
      <c r="G812" s="434"/>
      <c r="H812" s="434"/>
      <c r="I812" s="434"/>
      <c r="J812" s="434"/>
      <c r="K812" s="434"/>
      <c r="L812" s="434"/>
      <c r="M812" s="434"/>
      <c r="N812" s="434"/>
      <c r="O812" s="434"/>
      <c r="P812" s="434"/>
      <c r="Q812" s="434"/>
      <c r="R812" s="434"/>
      <c r="S812" s="434"/>
      <c r="T812" s="434"/>
      <c r="U812" s="434"/>
      <c r="V812" s="434"/>
      <c r="W812" s="434"/>
    </row>
    <row r="813">
      <c r="A813" s="434"/>
      <c r="B813" s="434"/>
      <c r="C813" s="434"/>
      <c r="D813" s="434"/>
      <c r="E813" s="434"/>
      <c r="F813" s="434"/>
      <c r="G813" s="434"/>
      <c r="H813" s="434"/>
      <c r="I813" s="434"/>
      <c r="J813" s="434"/>
      <c r="K813" s="434"/>
      <c r="L813" s="434"/>
      <c r="M813" s="434"/>
      <c r="N813" s="434"/>
      <c r="O813" s="434"/>
      <c r="P813" s="434"/>
      <c r="Q813" s="434"/>
      <c r="R813" s="434"/>
      <c r="S813" s="434"/>
      <c r="T813" s="434"/>
      <c r="U813" s="434"/>
      <c r="V813" s="434"/>
      <c r="W813" s="434"/>
    </row>
    <row r="814">
      <c r="A814" s="434"/>
      <c r="B814" s="434"/>
      <c r="C814" s="434"/>
      <c r="D814" s="434"/>
      <c r="E814" s="434"/>
      <c r="F814" s="434"/>
      <c r="G814" s="434"/>
      <c r="H814" s="434"/>
      <c r="I814" s="434"/>
      <c r="J814" s="434"/>
      <c r="K814" s="434"/>
      <c r="L814" s="434"/>
      <c r="M814" s="434"/>
      <c r="N814" s="434"/>
      <c r="O814" s="434"/>
      <c r="P814" s="434"/>
      <c r="Q814" s="434"/>
      <c r="R814" s="434"/>
      <c r="S814" s="434"/>
      <c r="T814" s="434"/>
      <c r="U814" s="434"/>
      <c r="V814" s="434"/>
      <c r="W814" s="434"/>
    </row>
    <row r="815">
      <c r="A815" s="434"/>
      <c r="B815" s="434"/>
      <c r="C815" s="434"/>
      <c r="D815" s="434"/>
      <c r="E815" s="434"/>
      <c r="F815" s="434"/>
      <c r="G815" s="434"/>
      <c r="H815" s="434"/>
      <c r="I815" s="434"/>
      <c r="J815" s="434"/>
      <c r="K815" s="434"/>
      <c r="L815" s="434"/>
      <c r="M815" s="434"/>
      <c r="N815" s="434"/>
      <c r="O815" s="434"/>
      <c r="P815" s="434"/>
      <c r="Q815" s="434"/>
      <c r="R815" s="434"/>
      <c r="S815" s="434"/>
      <c r="T815" s="434"/>
      <c r="U815" s="434"/>
      <c r="V815" s="434"/>
      <c r="W815" s="434"/>
    </row>
    <row r="816">
      <c r="A816" s="434"/>
      <c r="B816" s="434"/>
      <c r="C816" s="434"/>
      <c r="D816" s="434"/>
      <c r="E816" s="434"/>
      <c r="F816" s="434"/>
      <c r="G816" s="434"/>
      <c r="H816" s="434"/>
      <c r="I816" s="434"/>
      <c r="J816" s="434"/>
      <c r="K816" s="434"/>
      <c r="L816" s="434"/>
      <c r="M816" s="434"/>
      <c r="N816" s="434"/>
      <c r="O816" s="434"/>
      <c r="P816" s="434"/>
      <c r="Q816" s="434"/>
      <c r="R816" s="434"/>
      <c r="S816" s="434"/>
      <c r="T816" s="434"/>
      <c r="U816" s="434"/>
      <c r="V816" s="434"/>
      <c r="W816" s="434"/>
    </row>
    <row r="817">
      <c r="A817" s="434"/>
      <c r="B817" s="434"/>
      <c r="C817" s="434"/>
      <c r="D817" s="434"/>
      <c r="E817" s="434"/>
      <c r="F817" s="434"/>
      <c r="G817" s="434"/>
      <c r="H817" s="434"/>
      <c r="I817" s="434"/>
      <c r="J817" s="434"/>
      <c r="K817" s="434"/>
      <c r="L817" s="434"/>
      <c r="M817" s="434"/>
      <c r="N817" s="434"/>
      <c r="O817" s="434"/>
      <c r="P817" s="434"/>
      <c r="Q817" s="434"/>
      <c r="R817" s="434"/>
      <c r="S817" s="434"/>
      <c r="T817" s="434"/>
      <c r="U817" s="434"/>
      <c r="V817" s="434"/>
      <c r="W817" s="434"/>
    </row>
    <row r="818">
      <c r="A818" s="434"/>
      <c r="B818" s="434"/>
      <c r="C818" s="434"/>
      <c r="D818" s="434"/>
      <c r="E818" s="434"/>
      <c r="F818" s="434"/>
      <c r="G818" s="434"/>
      <c r="H818" s="434"/>
      <c r="I818" s="434"/>
      <c r="J818" s="434"/>
      <c r="K818" s="434"/>
      <c r="L818" s="434"/>
      <c r="M818" s="434"/>
      <c r="N818" s="434"/>
      <c r="O818" s="434"/>
      <c r="P818" s="434"/>
      <c r="Q818" s="434"/>
      <c r="R818" s="434"/>
      <c r="S818" s="434"/>
      <c r="T818" s="434"/>
      <c r="U818" s="434"/>
      <c r="V818" s="434"/>
      <c r="W818" s="434"/>
    </row>
    <row r="819">
      <c r="A819" s="434"/>
      <c r="B819" s="434"/>
      <c r="C819" s="434"/>
      <c r="D819" s="434"/>
      <c r="E819" s="434"/>
      <c r="F819" s="434"/>
      <c r="G819" s="434"/>
      <c r="H819" s="434"/>
      <c r="I819" s="434"/>
      <c r="J819" s="434"/>
      <c r="K819" s="434"/>
      <c r="L819" s="434"/>
      <c r="M819" s="434"/>
      <c r="N819" s="434"/>
      <c r="O819" s="434"/>
      <c r="P819" s="434"/>
      <c r="Q819" s="434"/>
      <c r="R819" s="434"/>
      <c r="S819" s="434"/>
      <c r="T819" s="434"/>
      <c r="U819" s="434"/>
      <c r="V819" s="434"/>
      <c r="W819" s="434"/>
    </row>
    <row r="820">
      <c r="A820" s="434"/>
      <c r="B820" s="434"/>
      <c r="C820" s="434"/>
      <c r="D820" s="434"/>
      <c r="E820" s="434"/>
      <c r="F820" s="434"/>
      <c r="G820" s="434"/>
      <c r="H820" s="434"/>
      <c r="I820" s="434"/>
      <c r="J820" s="434"/>
      <c r="K820" s="434"/>
      <c r="L820" s="434"/>
      <c r="M820" s="434"/>
      <c r="N820" s="434"/>
      <c r="O820" s="434"/>
      <c r="P820" s="434"/>
      <c r="Q820" s="434"/>
      <c r="R820" s="434"/>
      <c r="S820" s="434"/>
      <c r="T820" s="434"/>
      <c r="U820" s="434"/>
      <c r="V820" s="434"/>
      <c r="W820" s="434"/>
    </row>
    <row r="821">
      <c r="A821" s="434"/>
      <c r="B821" s="434"/>
      <c r="C821" s="434"/>
      <c r="D821" s="434"/>
      <c r="E821" s="434"/>
      <c r="F821" s="434"/>
      <c r="G821" s="434"/>
      <c r="H821" s="434"/>
      <c r="I821" s="434"/>
      <c r="J821" s="434"/>
      <c r="K821" s="434"/>
      <c r="L821" s="434"/>
      <c r="M821" s="434"/>
      <c r="N821" s="434"/>
      <c r="O821" s="434"/>
      <c r="P821" s="434"/>
      <c r="Q821" s="434"/>
      <c r="R821" s="434"/>
      <c r="S821" s="434"/>
      <c r="T821" s="434"/>
      <c r="U821" s="434"/>
      <c r="V821" s="434"/>
      <c r="W821" s="434"/>
    </row>
    <row r="822">
      <c r="A822" s="434"/>
      <c r="B822" s="434"/>
      <c r="C822" s="434"/>
      <c r="D822" s="434"/>
      <c r="E822" s="434"/>
      <c r="F822" s="434"/>
      <c r="G822" s="434"/>
      <c r="H822" s="434"/>
      <c r="I822" s="434"/>
      <c r="J822" s="434"/>
      <c r="K822" s="434"/>
      <c r="L822" s="434"/>
      <c r="M822" s="434"/>
      <c r="N822" s="434"/>
      <c r="O822" s="434"/>
      <c r="P822" s="434"/>
      <c r="Q822" s="434"/>
      <c r="R822" s="434"/>
      <c r="S822" s="434"/>
      <c r="T822" s="434"/>
      <c r="U822" s="434"/>
      <c r="V822" s="434"/>
      <c r="W822" s="434"/>
    </row>
    <row r="823">
      <c r="A823" s="434"/>
      <c r="B823" s="434"/>
      <c r="C823" s="434"/>
      <c r="D823" s="434"/>
      <c r="E823" s="434"/>
      <c r="F823" s="434"/>
      <c r="G823" s="434"/>
      <c r="H823" s="434"/>
      <c r="I823" s="434"/>
      <c r="J823" s="434"/>
      <c r="K823" s="434"/>
      <c r="L823" s="434"/>
      <c r="M823" s="434"/>
      <c r="N823" s="434"/>
      <c r="O823" s="434"/>
      <c r="P823" s="434"/>
      <c r="Q823" s="434"/>
      <c r="R823" s="434"/>
      <c r="S823" s="434"/>
      <c r="T823" s="434"/>
      <c r="U823" s="434"/>
      <c r="V823" s="434"/>
      <c r="W823" s="434"/>
    </row>
    <row r="824">
      <c r="A824" s="434"/>
      <c r="B824" s="434"/>
      <c r="C824" s="434"/>
      <c r="D824" s="434"/>
      <c r="E824" s="434"/>
      <c r="F824" s="434"/>
      <c r="G824" s="434"/>
      <c r="H824" s="434"/>
      <c r="I824" s="434"/>
      <c r="J824" s="434"/>
      <c r="K824" s="434"/>
      <c r="L824" s="434"/>
      <c r="M824" s="434"/>
      <c r="N824" s="434"/>
      <c r="O824" s="434"/>
      <c r="P824" s="434"/>
      <c r="Q824" s="434"/>
      <c r="R824" s="434"/>
      <c r="S824" s="434"/>
      <c r="T824" s="434"/>
      <c r="U824" s="434"/>
      <c r="V824" s="434"/>
      <c r="W824" s="434"/>
    </row>
    <row r="825">
      <c r="A825" s="434"/>
      <c r="B825" s="434"/>
      <c r="C825" s="434"/>
      <c r="D825" s="434"/>
      <c r="E825" s="434"/>
      <c r="F825" s="434"/>
      <c r="G825" s="434"/>
      <c r="H825" s="434"/>
      <c r="I825" s="434"/>
      <c r="J825" s="434"/>
      <c r="K825" s="434"/>
      <c r="L825" s="434"/>
      <c r="M825" s="434"/>
      <c r="N825" s="434"/>
      <c r="O825" s="434"/>
      <c r="P825" s="434"/>
      <c r="Q825" s="434"/>
      <c r="R825" s="434"/>
      <c r="S825" s="434"/>
      <c r="T825" s="434"/>
      <c r="U825" s="434"/>
      <c r="V825" s="434"/>
      <c r="W825" s="434"/>
    </row>
    <row r="826">
      <c r="A826" s="434"/>
      <c r="B826" s="434"/>
      <c r="C826" s="434"/>
      <c r="D826" s="434"/>
      <c r="E826" s="434"/>
      <c r="F826" s="434"/>
      <c r="G826" s="434"/>
      <c r="H826" s="434"/>
      <c r="I826" s="434"/>
      <c r="J826" s="434"/>
      <c r="K826" s="434"/>
      <c r="L826" s="434"/>
      <c r="M826" s="434"/>
      <c r="N826" s="434"/>
      <c r="O826" s="434"/>
      <c r="P826" s="434"/>
      <c r="Q826" s="434"/>
      <c r="R826" s="434"/>
      <c r="S826" s="434"/>
      <c r="T826" s="434"/>
      <c r="U826" s="434"/>
      <c r="V826" s="434"/>
      <c r="W826" s="434"/>
    </row>
    <row r="827">
      <c r="A827" s="434"/>
      <c r="B827" s="434"/>
      <c r="C827" s="434"/>
      <c r="D827" s="434"/>
      <c r="E827" s="434"/>
      <c r="F827" s="434"/>
      <c r="G827" s="434"/>
      <c r="H827" s="434"/>
      <c r="I827" s="434"/>
      <c r="J827" s="434"/>
      <c r="K827" s="434"/>
      <c r="L827" s="434"/>
      <c r="M827" s="434"/>
      <c r="N827" s="434"/>
      <c r="O827" s="434"/>
      <c r="P827" s="434"/>
      <c r="Q827" s="434"/>
      <c r="R827" s="434"/>
      <c r="S827" s="434"/>
      <c r="T827" s="434"/>
      <c r="U827" s="434"/>
      <c r="V827" s="434"/>
      <c r="W827" s="434"/>
    </row>
    <row r="828">
      <c r="A828" s="434"/>
      <c r="B828" s="434"/>
      <c r="C828" s="434"/>
      <c r="D828" s="434"/>
      <c r="E828" s="434"/>
      <c r="F828" s="434"/>
      <c r="G828" s="434"/>
      <c r="H828" s="434"/>
      <c r="I828" s="434"/>
      <c r="J828" s="434"/>
      <c r="K828" s="434"/>
      <c r="L828" s="434"/>
      <c r="M828" s="434"/>
      <c r="N828" s="434"/>
      <c r="O828" s="434"/>
      <c r="P828" s="434"/>
      <c r="Q828" s="434"/>
      <c r="R828" s="434"/>
      <c r="S828" s="434"/>
      <c r="T828" s="434"/>
      <c r="U828" s="434"/>
      <c r="V828" s="434"/>
      <c r="W828" s="434"/>
    </row>
    <row r="829">
      <c r="A829" s="434"/>
      <c r="B829" s="434"/>
      <c r="C829" s="434"/>
      <c r="D829" s="434"/>
      <c r="E829" s="434"/>
      <c r="F829" s="434"/>
      <c r="G829" s="434"/>
      <c r="H829" s="434"/>
      <c r="I829" s="434"/>
      <c r="J829" s="434"/>
      <c r="K829" s="434"/>
      <c r="L829" s="434"/>
      <c r="M829" s="434"/>
      <c r="N829" s="434"/>
      <c r="O829" s="434"/>
      <c r="P829" s="434"/>
      <c r="Q829" s="434"/>
      <c r="R829" s="434"/>
      <c r="S829" s="434"/>
      <c r="T829" s="434"/>
      <c r="U829" s="434"/>
      <c r="V829" s="434"/>
      <c r="W829" s="434"/>
    </row>
    <row r="830">
      <c r="A830" s="434"/>
      <c r="B830" s="434"/>
      <c r="C830" s="434"/>
      <c r="D830" s="434"/>
      <c r="E830" s="434"/>
      <c r="F830" s="434"/>
      <c r="G830" s="434"/>
      <c r="H830" s="434"/>
      <c r="I830" s="434"/>
      <c r="J830" s="434"/>
      <c r="K830" s="434"/>
      <c r="L830" s="434"/>
      <c r="M830" s="434"/>
      <c r="N830" s="434"/>
      <c r="O830" s="434"/>
      <c r="P830" s="434"/>
      <c r="Q830" s="434"/>
      <c r="R830" s="434"/>
      <c r="S830" s="434"/>
      <c r="T830" s="434"/>
      <c r="U830" s="434"/>
      <c r="V830" s="434"/>
      <c r="W830" s="434"/>
    </row>
    <row r="831">
      <c r="A831" s="434"/>
      <c r="B831" s="434"/>
      <c r="C831" s="434"/>
      <c r="D831" s="434"/>
      <c r="E831" s="434"/>
      <c r="F831" s="434"/>
      <c r="G831" s="434"/>
      <c r="H831" s="434"/>
      <c r="I831" s="434"/>
      <c r="J831" s="434"/>
      <c r="K831" s="434"/>
      <c r="L831" s="434"/>
      <c r="M831" s="434"/>
      <c r="N831" s="434"/>
      <c r="O831" s="434"/>
      <c r="P831" s="434"/>
      <c r="Q831" s="434"/>
      <c r="R831" s="434"/>
      <c r="S831" s="434"/>
      <c r="T831" s="434"/>
      <c r="U831" s="434"/>
      <c r="V831" s="434"/>
      <c r="W831" s="434"/>
    </row>
    <row r="832">
      <c r="A832" s="434"/>
      <c r="B832" s="434"/>
      <c r="C832" s="434"/>
      <c r="D832" s="434"/>
      <c r="E832" s="434"/>
      <c r="F832" s="434"/>
      <c r="G832" s="434"/>
      <c r="H832" s="434"/>
      <c r="I832" s="434"/>
      <c r="J832" s="434"/>
      <c r="K832" s="434"/>
      <c r="L832" s="434"/>
      <c r="M832" s="434"/>
      <c r="N832" s="434"/>
      <c r="O832" s="434"/>
      <c r="P832" s="434"/>
      <c r="Q832" s="434"/>
      <c r="R832" s="434"/>
      <c r="S832" s="434"/>
      <c r="T832" s="434"/>
      <c r="U832" s="434"/>
      <c r="V832" s="434"/>
      <c r="W832" s="434"/>
    </row>
    <row r="833">
      <c r="A833" s="434"/>
      <c r="B833" s="434"/>
      <c r="C833" s="434"/>
      <c r="D833" s="434"/>
      <c r="E833" s="434"/>
      <c r="F833" s="434"/>
      <c r="G833" s="434"/>
      <c r="H833" s="434"/>
      <c r="I833" s="434"/>
      <c r="J833" s="434"/>
      <c r="K833" s="434"/>
      <c r="L833" s="434"/>
      <c r="M833" s="434"/>
      <c r="N833" s="434"/>
      <c r="O833" s="434"/>
      <c r="P833" s="434"/>
      <c r="Q833" s="434"/>
      <c r="R833" s="434"/>
      <c r="S833" s="434"/>
      <c r="T833" s="434"/>
      <c r="U833" s="434"/>
      <c r="V833" s="434"/>
      <c r="W833" s="434"/>
    </row>
    <row r="834">
      <c r="A834" s="434"/>
      <c r="B834" s="434"/>
      <c r="C834" s="434"/>
      <c r="D834" s="434"/>
      <c r="E834" s="434"/>
      <c r="F834" s="434"/>
      <c r="G834" s="434"/>
      <c r="H834" s="434"/>
      <c r="I834" s="434"/>
      <c r="J834" s="434"/>
      <c r="K834" s="434"/>
      <c r="L834" s="434"/>
      <c r="M834" s="434"/>
      <c r="N834" s="434"/>
      <c r="O834" s="434"/>
      <c r="P834" s="434"/>
      <c r="Q834" s="434"/>
      <c r="R834" s="434"/>
      <c r="S834" s="434"/>
      <c r="T834" s="434"/>
      <c r="U834" s="434"/>
      <c r="V834" s="434"/>
      <c r="W834" s="434"/>
    </row>
    <row r="835">
      <c r="A835" s="434"/>
      <c r="B835" s="434"/>
      <c r="C835" s="434"/>
      <c r="D835" s="434"/>
      <c r="E835" s="434"/>
      <c r="F835" s="434"/>
      <c r="G835" s="434"/>
      <c r="H835" s="434"/>
      <c r="I835" s="434"/>
      <c r="J835" s="434"/>
      <c r="K835" s="434"/>
      <c r="L835" s="434"/>
      <c r="M835" s="434"/>
      <c r="N835" s="434"/>
      <c r="O835" s="434"/>
      <c r="P835" s="434"/>
      <c r="Q835" s="434"/>
      <c r="R835" s="434"/>
      <c r="S835" s="434"/>
      <c r="T835" s="434"/>
      <c r="U835" s="434"/>
      <c r="V835" s="434"/>
      <c r="W835" s="434"/>
    </row>
    <row r="836">
      <c r="A836" s="434"/>
      <c r="B836" s="434"/>
      <c r="C836" s="434"/>
      <c r="D836" s="434"/>
      <c r="E836" s="434"/>
      <c r="F836" s="434"/>
      <c r="G836" s="434"/>
      <c r="H836" s="434"/>
      <c r="I836" s="434"/>
      <c r="J836" s="434"/>
      <c r="K836" s="434"/>
      <c r="L836" s="434"/>
      <c r="M836" s="434"/>
      <c r="N836" s="434"/>
      <c r="O836" s="434"/>
      <c r="P836" s="434"/>
      <c r="Q836" s="434"/>
      <c r="R836" s="434"/>
      <c r="S836" s="434"/>
      <c r="T836" s="434"/>
      <c r="U836" s="434"/>
      <c r="V836" s="434"/>
      <c r="W836" s="434"/>
    </row>
    <row r="837">
      <c r="A837" s="434"/>
      <c r="B837" s="434"/>
      <c r="C837" s="434"/>
      <c r="D837" s="434"/>
      <c r="E837" s="434"/>
      <c r="F837" s="434"/>
      <c r="G837" s="434"/>
      <c r="H837" s="434"/>
      <c r="I837" s="434"/>
      <c r="J837" s="434"/>
      <c r="K837" s="434"/>
      <c r="L837" s="434"/>
      <c r="M837" s="434"/>
      <c r="N837" s="434"/>
      <c r="O837" s="434"/>
      <c r="P837" s="434"/>
      <c r="Q837" s="434"/>
      <c r="R837" s="434"/>
      <c r="S837" s="434"/>
      <c r="T837" s="434"/>
      <c r="U837" s="434"/>
      <c r="V837" s="434"/>
      <c r="W837" s="434"/>
    </row>
    <row r="838">
      <c r="A838" s="434"/>
      <c r="B838" s="434"/>
      <c r="C838" s="434"/>
      <c r="D838" s="434"/>
      <c r="E838" s="434"/>
      <c r="F838" s="434"/>
      <c r="G838" s="434"/>
      <c r="H838" s="434"/>
      <c r="I838" s="434"/>
      <c r="J838" s="434"/>
      <c r="K838" s="434"/>
      <c r="L838" s="434"/>
      <c r="M838" s="434"/>
      <c r="N838" s="434"/>
      <c r="O838" s="434"/>
      <c r="P838" s="434"/>
      <c r="Q838" s="434"/>
      <c r="R838" s="434"/>
      <c r="S838" s="434"/>
      <c r="T838" s="434"/>
      <c r="U838" s="434"/>
      <c r="V838" s="434"/>
      <c r="W838" s="434"/>
    </row>
    <row r="839">
      <c r="A839" s="434"/>
      <c r="B839" s="434"/>
      <c r="C839" s="434"/>
      <c r="D839" s="434"/>
      <c r="E839" s="434"/>
      <c r="F839" s="434"/>
      <c r="G839" s="434"/>
      <c r="H839" s="434"/>
      <c r="I839" s="434"/>
      <c r="J839" s="434"/>
      <c r="K839" s="434"/>
      <c r="L839" s="434"/>
      <c r="M839" s="434"/>
      <c r="N839" s="434"/>
      <c r="O839" s="434"/>
      <c r="P839" s="434"/>
      <c r="Q839" s="434"/>
      <c r="R839" s="434"/>
      <c r="S839" s="434"/>
      <c r="T839" s="434"/>
      <c r="U839" s="434"/>
      <c r="V839" s="434"/>
      <c r="W839" s="434"/>
    </row>
    <row r="840">
      <c r="A840" s="434"/>
      <c r="B840" s="434"/>
      <c r="C840" s="434"/>
      <c r="D840" s="434"/>
      <c r="E840" s="434"/>
      <c r="F840" s="434"/>
      <c r="G840" s="434"/>
      <c r="H840" s="434"/>
      <c r="I840" s="434"/>
      <c r="J840" s="434"/>
      <c r="K840" s="434"/>
      <c r="L840" s="434"/>
      <c r="M840" s="434"/>
      <c r="N840" s="434"/>
      <c r="O840" s="434"/>
      <c r="P840" s="434"/>
      <c r="Q840" s="434"/>
      <c r="R840" s="434"/>
      <c r="S840" s="434"/>
      <c r="T840" s="434"/>
      <c r="U840" s="434"/>
      <c r="V840" s="434"/>
      <c r="W840" s="434"/>
    </row>
    <row r="841">
      <c r="A841" s="434"/>
      <c r="B841" s="434"/>
      <c r="C841" s="434"/>
      <c r="D841" s="434"/>
      <c r="E841" s="434"/>
      <c r="F841" s="434"/>
      <c r="G841" s="434"/>
      <c r="H841" s="434"/>
      <c r="I841" s="434"/>
      <c r="J841" s="434"/>
      <c r="K841" s="434"/>
      <c r="L841" s="434"/>
      <c r="M841" s="434"/>
      <c r="N841" s="434"/>
      <c r="O841" s="434"/>
      <c r="P841" s="434"/>
      <c r="Q841" s="434"/>
      <c r="R841" s="434"/>
      <c r="S841" s="434"/>
      <c r="T841" s="434"/>
      <c r="U841" s="434"/>
      <c r="V841" s="434"/>
      <c r="W841" s="434"/>
    </row>
    <row r="842">
      <c r="A842" s="434"/>
      <c r="B842" s="434"/>
      <c r="C842" s="434"/>
      <c r="D842" s="434"/>
      <c r="E842" s="434"/>
      <c r="F842" s="434"/>
      <c r="G842" s="434"/>
      <c r="H842" s="434"/>
      <c r="I842" s="434"/>
      <c r="J842" s="434"/>
      <c r="K842" s="434"/>
      <c r="L842" s="434"/>
      <c r="M842" s="434"/>
      <c r="N842" s="434"/>
      <c r="O842" s="434"/>
      <c r="P842" s="434"/>
      <c r="Q842" s="434"/>
      <c r="R842" s="434"/>
      <c r="S842" s="434"/>
      <c r="T842" s="434"/>
      <c r="U842" s="434"/>
      <c r="V842" s="434"/>
      <c r="W842" s="434"/>
    </row>
    <row r="843">
      <c r="A843" s="434"/>
      <c r="B843" s="434"/>
      <c r="C843" s="434"/>
      <c r="D843" s="434"/>
      <c r="E843" s="434"/>
      <c r="F843" s="434"/>
      <c r="G843" s="434"/>
      <c r="H843" s="434"/>
      <c r="I843" s="434"/>
      <c r="J843" s="434"/>
      <c r="K843" s="434"/>
      <c r="L843" s="434"/>
      <c r="M843" s="434"/>
      <c r="N843" s="434"/>
      <c r="O843" s="434"/>
      <c r="P843" s="434"/>
      <c r="Q843" s="434"/>
      <c r="R843" s="434"/>
      <c r="S843" s="434"/>
      <c r="T843" s="434"/>
      <c r="U843" s="434"/>
      <c r="V843" s="434"/>
      <c r="W843" s="434"/>
    </row>
    <row r="844">
      <c r="A844" s="434"/>
      <c r="B844" s="434"/>
      <c r="C844" s="434"/>
      <c r="D844" s="434"/>
      <c r="E844" s="434"/>
      <c r="F844" s="434"/>
      <c r="G844" s="434"/>
      <c r="H844" s="434"/>
      <c r="I844" s="434"/>
      <c r="J844" s="434"/>
      <c r="K844" s="434"/>
      <c r="L844" s="434"/>
      <c r="M844" s="434"/>
      <c r="N844" s="434"/>
      <c r="O844" s="434"/>
      <c r="P844" s="434"/>
      <c r="Q844" s="434"/>
      <c r="R844" s="434"/>
      <c r="S844" s="434"/>
      <c r="T844" s="434"/>
      <c r="U844" s="434"/>
      <c r="V844" s="434"/>
      <c r="W844" s="434"/>
    </row>
    <row r="845">
      <c r="A845" s="434"/>
      <c r="B845" s="434"/>
      <c r="C845" s="434"/>
      <c r="D845" s="434"/>
      <c r="E845" s="434"/>
      <c r="F845" s="434"/>
      <c r="G845" s="434"/>
      <c r="H845" s="434"/>
      <c r="I845" s="434"/>
      <c r="J845" s="434"/>
      <c r="K845" s="434"/>
      <c r="L845" s="434"/>
      <c r="M845" s="434"/>
      <c r="N845" s="434"/>
      <c r="O845" s="434"/>
      <c r="P845" s="434"/>
      <c r="Q845" s="434"/>
      <c r="R845" s="434"/>
      <c r="S845" s="434"/>
      <c r="T845" s="434"/>
      <c r="U845" s="434"/>
      <c r="V845" s="434"/>
      <c r="W845" s="434"/>
    </row>
    <row r="846">
      <c r="A846" s="434"/>
      <c r="B846" s="434"/>
      <c r="C846" s="434"/>
      <c r="D846" s="434"/>
      <c r="E846" s="434"/>
      <c r="F846" s="434"/>
      <c r="G846" s="434"/>
      <c r="H846" s="434"/>
      <c r="I846" s="434"/>
      <c r="J846" s="434"/>
      <c r="K846" s="434"/>
      <c r="L846" s="434"/>
      <c r="M846" s="434"/>
      <c r="N846" s="434"/>
      <c r="O846" s="434"/>
      <c r="P846" s="434"/>
      <c r="Q846" s="434"/>
      <c r="R846" s="434"/>
      <c r="S846" s="434"/>
      <c r="T846" s="434"/>
      <c r="U846" s="434"/>
      <c r="V846" s="434"/>
      <c r="W846" s="434"/>
    </row>
    <row r="847">
      <c r="A847" s="434"/>
      <c r="B847" s="434"/>
      <c r="C847" s="434"/>
      <c r="D847" s="434"/>
      <c r="E847" s="434"/>
      <c r="F847" s="434"/>
      <c r="G847" s="434"/>
      <c r="H847" s="434"/>
      <c r="I847" s="434"/>
      <c r="J847" s="434"/>
      <c r="K847" s="434"/>
      <c r="L847" s="434"/>
      <c r="M847" s="434"/>
      <c r="N847" s="434"/>
      <c r="O847" s="434"/>
      <c r="P847" s="434"/>
      <c r="Q847" s="434"/>
      <c r="R847" s="434"/>
      <c r="S847" s="434"/>
      <c r="T847" s="434"/>
      <c r="U847" s="434"/>
      <c r="V847" s="434"/>
      <c r="W847" s="434"/>
    </row>
    <row r="848">
      <c r="A848" s="434"/>
      <c r="B848" s="434"/>
      <c r="C848" s="434"/>
      <c r="D848" s="434"/>
      <c r="E848" s="434"/>
      <c r="F848" s="434"/>
      <c r="G848" s="434"/>
      <c r="H848" s="434"/>
      <c r="I848" s="434"/>
      <c r="J848" s="434"/>
      <c r="K848" s="434"/>
      <c r="L848" s="434"/>
      <c r="M848" s="434"/>
      <c r="N848" s="434"/>
      <c r="O848" s="434"/>
      <c r="P848" s="434"/>
      <c r="Q848" s="434"/>
      <c r="R848" s="434"/>
      <c r="S848" s="434"/>
      <c r="T848" s="434"/>
      <c r="U848" s="434"/>
      <c r="V848" s="434"/>
      <c r="W848" s="434"/>
    </row>
    <row r="849">
      <c r="A849" s="434"/>
      <c r="B849" s="434"/>
      <c r="C849" s="434"/>
      <c r="D849" s="434"/>
      <c r="E849" s="434"/>
      <c r="F849" s="434"/>
      <c r="G849" s="434"/>
      <c r="H849" s="434"/>
      <c r="I849" s="434"/>
      <c r="J849" s="434"/>
      <c r="K849" s="434"/>
      <c r="L849" s="434"/>
      <c r="M849" s="434"/>
      <c r="N849" s="434"/>
      <c r="O849" s="434"/>
      <c r="P849" s="434"/>
      <c r="Q849" s="434"/>
      <c r="R849" s="434"/>
      <c r="S849" s="434"/>
      <c r="T849" s="434"/>
      <c r="U849" s="434"/>
      <c r="V849" s="434"/>
      <c r="W849" s="434"/>
    </row>
    <row r="850">
      <c r="A850" s="434"/>
      <c r="B850" s="434"/>
      <c r="C850" s="434"/>
      <c r="D850" s="434"/>
      <c r="E850" s="434"/>
      <c r="F850" s="434"/>
      <c r="G850" s="434"/>
      <c r="H850" s="434"/>
      <c r="I850" s="434"/>
      <c r="J850" s="434"/>
      <c r="K850" s="434"/>
      <c r="L850" s="434"/>
      <c r="M850" s="434"/>
      <c r="N850" s="434"/>
      <c r="O850" s="434"/>
      <c r="P850" s="434"/>
      <c r="Q850" s="434"/>
      <c r="R850" s="434"/>
      <c r="S850" s="434"/>
      <c r="T850" s="434"/>
      <c r="U850" s="434"/>
      <c r="V850" s="434"/>
      <c r="W850" s="434"/>
    </row>
    <row r="851">
      <c r="A851" s="434"/>
      <c r="B851" s="434"/>
      <c r="C851" s="434"/>
      <c r="D851" s="434"/>
      <c r="E851" s="434"/>
      <c r="F851" s="434"/>
      <c r="G851" s="434"/>
      <c r="H851" s="434"/>
      <c r="I851" s="434"/>
      <c r="J851" s="434"/>
      <c r="K851" s="434"/>
      <c r="L851" s="434"/>
      <c r="M851" s="434"/>
      <c r="N851" s="434"/>
      <c r="O851" s="434"/>
      <c r="P851" s="434"/>
      <c r="Q851" s="434"/>
      <c r="R851" s="434"/>
      <c r="S851" s="434"/>
      <c r="T851" s="434"/>
      <c r="U851" s="434"/>
      <c r="V851" s="434"/>
      <c r="W851" s="434"/>
    </row>
    <row r="852">
      <c r="A852" s="434"/>
      <c r="B852" s="434"/>
      <c r="C852" s="434"/>
      <c r="D852" s="434"/>
      <c r="E852" s="434"/>
      <c r="F852" s="434"/>
      <c r="G852" s="434"/>
      <c r="H852" s="434"/>
      <c r="I852" s="434"/>
      <c r="J852" s="434"/>
      <c r="K852" s="434"/>
      <c r="L852" s="434"/>
      <c r="M852" s="434"/>
      <c r="N852" s="434"/>
      <c r="O852" s="434"/>
      <c r="P852" s="434"/>
      <c r="Q852" s="434"/>
      <c r="R852" s="434"/>
      <c r="S852" s="434"/>
      <c r="T852" s="434"/>
      <c r="U852" s="434"/>
      <c r="V852" s="434"/>
      <c r="W852" s="434"/>
    </row>
    <row r="853">
      <c r="A853" s="434"/>
      <c r="B853" s="434"/>
      <c r="C853" s="434"/>
      <c r="D853" s="434"/>
      <c r="E853" s="434"/>
      <c r="F853" s="434"/>
      <c r="G853" s="434"/>
      <c r="H853" s="434"/>
      <c r="I853" s="434"/>
      <c r="J853" s="434"/>
      <c r="K853" s="434"/>
      <c r="L853" s="434"/>
      <c r="M853" s="434"/>
      <c r="N853" s="434"/>
      <c r="O853" s="434"/>
      <c r="P853" s="434"/>
      <c r="Q853" s="434"/>
      <c r="R853" s="434"/>
      <c r="S853" s="434"/>
      <c r="T853" s="434"/>
      <c r="U853" s="434"/>
      <c r="V853" s="434"/>
      <c r="W853" s="434"/>
    </row>
    <row r="854">
      <c r="A854" s="434"/>
      <c r="B854" s="434"/>
      <c r="C854" s="434"/>
      <c r="D854" s="434"/>
      <c r="E854" s="434"/>
      <c r="F854" s="434"/>
      <c r="G854" s="434"/>
      <c r="H854" s="434"/>
      <c r="I854" s="434"/>
      <c r="J854" s="434"/>
      <c r="K854" s="434"/>
      <c r="L854" s="434"/>
      <c r="M854" s="434"/>
      <c r="N854" s="434"/>
      <c r="O854" s="434"/>
      <c r="P854" s="434"/>
      <c r="Q854" s="434"/>
      <c r="R854" s="434"/>
      <c r="S854" s="434"/>
      <c r="T854" s="434"/>
      <c r="U854" s="434"/>
      <c r="V854" s="434"/>
      <c r="W854" s="434"/>
    </row>
    <row r="855">
      <c r="A855" s="434"/>
      <c r="B855" s="434"/>
      <c r="C855" s="434"/>
      <c r="D855" s="434"/>
      <c r="E855" s="434"/>
      <c r="F855" s="434"/>
      <c r="G855" s="434"/>
      <c r="H855" s="434"/>
      <c r="I855" s="434"/>
      <c r="J855" s="434"/>
      <c r="K855" s="434"/>
      <c r="L855" s="434"/>
      <c r="M855" s="434"/>
      <c r="N855" s="434"/>
      <c r="O855" s="434"/>
      <c r="P855" s="434"/>
      <c r="Q855" s="434"/>
      <c r="R855" s="434"/>
      <c r="S855" s="434"/>
      <c r="T855" s="434"/>
      <c r="U855" s="434"/>
      <c r="V855" s="434"/>
      <c r="W855" s="434"/>
    </row>
    <row r="856">
      <c r="A856" s="434"/>
      <c r="B856" s="434"/>
      <c r="C856" s="434"/>
      <c r="D856" s="434"/>
      <c r="E856" s="434"/>
      <c r="F856" s="434"/>
      <c r="G856" s="434"/>
      <c r="H856" s="434"/>
      <c r="I856" s="434"/>
      <c r="J856" s="434"/>
      <c r="K856" s="434"/>
      <c r="L856" s="434"/>
      <c r="M856" s="434"/>
      <c r="N856" s="434"/>
      <c r="O856" s="434"/>
      <c r="P856" s="434"/>
      <c r="Q856" s="434"/>
      <c r="R856" s="434"/>
      <c r="S856" s="434"/>
      <c r="T856" s="434"/>
      <c r="U856" s="434"/>
      <c r="V856" s="434"/>
      <c r="W856" s="434"/>
    </row>
    <row r="857">
      <c r="A857" s="434"/>
      <c r="B857" s="434"/>
      <c r="C857" s="434"/>
      <c r="D857" s="434"/>
      <c r="E857" s="434"/>
      <c r="F857" s="434"/>
      <c r="G857" s="434"/>
      <c r="H857" s="434"/>
      <c r="I857" s="434"/>
      <c r="J857" s="434"/>
      <c r="K857" s="434"/>
      <c r="L857" s="434"/>
      <c r="M857" s="434"/>
      <c r="N857" s="434"/>
      <c r="O857" s="434"/>
      <c r="P857" s="434"/>
      <c r="Q857" s="434"/>
      <c r="R857" s="434"/>
      <c r="S857" s="434"/>
      <c r="T857" s="434"/>
      <c r="U857" s="434"/>
      <c r="V857" s="434"/>
      <c r="W857" s="434"/>
    </row>
    <row r="858">
      <c r="A858" s="434"/>
      <c r="B858" s="434"/>
      <c r="C858" s="434"/>
      <c r="D858" s="434"/>
      <c r="E858" s="434"/>
      <c r="F858" s="434"/>
      <c r="G858" s="434"/>
      <c r="H858" s="434"/>
      <c r="I858" s="434"/>
      <c r="J858" s="434"/>
      <c r="K858" s="434"/>
      <c r="L858" s="434"/>
      <c r="M858" s="434"/>
      <c r="N858" s="434"/>
      <c r="O858" s="434"/>
      <c r="P858" s="434"/>
      <c r="Q858" s="434"/>
      <c r="R858" s="434"/>
      <c r="S858" s="434"/>
      <c r="T858" s="434"/>
      <c r="U858" s="434"/>
      <c r="V858" s="434"/>
      <c r="W858" s="434"/>
    </row>
    <row r="859">
      <c r="A859" s="434"/>
      <c r="B859" s="434"/>
      <c r="C859" s="434"/>
      <c r="D859" s="434"/>
      <c r="E859" s="434"/>
      <c r="F859" s="434"/>
      <c r="G859" s="434"/>
      <c r="H859" s="434"/>
      <c r="I859" s="434"/>
      <c r="J859" s="434"/>
      <c r="K859" s="434"/>
      <c r="L859" s="434"/>
      <c r="M859" s="434"/>
      <c r="N859" s="434"/>
      <c r="O859" s="434"/>
      <c r="P859" s="434"/>
      <c r="Q859" s="434"/>
      <c r="R859" s="434"/>
      <c r="S859" s="434"/>
      <c r="T859" s="434"/>
      <c r="U859" s="434"/>
      <c r="V859" s="434"/>
      <c r="W859" s="434"/>
    </row>
    <row r="860">
      <c r="A860" s="434"/>
      <c r="B860" s="434"/>
      <c r="C860" s="434"/>
      <c r="D860" s="434"/>
      <c r="E860" s="434"/>
      <c r="F860" s="434"/>
      <c r="G860" s="434"/>
      <c r="H860" s="434"/>
      <c r="I860" s="434"/>
      <c r="J860" s="434"/>
      <c r="K860" s="434"/>
      <c r="L860" s="434"/>
      <c r="M860" s="434"/>
      <c r="N860" s="434"/>
      <c r="O860" s="434"/>
      <c r="P860" s="434"/>
      <c r="Q860" s="434"/>
      <c r="R860" s="434"/>
      <c r="S860" s="434"/>
      <c r="T860" s="434"/>
      <c r="U860" s="434"/>
      <c r="V860" s="434"/>
      <c r="W860" s="434"/>
    </row>
    <row r="861">
      <c r="A861" s="434"/>
      <c r="B861" s="434"/>
      <c r="C861" s="434"/>
      <c r="D861" s="434"/>
      <c r="E861" s="434"/>
      <c r="F861" s="434"/>
      <c r="G861" s="434"/>
      <c r="H861" s="434"/>
      <c r="I861" s="434"/>
      <c r="J861" s="434"/>
      <c r="K861" s="434"/>
      <c r="L861" s="434"/>
      <c r="M861" s="434"/>
      <c r="N861" s="434"/>
      <c r="O861" s="434"/>
      <c r="P861" s="434"/>
      <c r="Q861" s="434"/>
      <c r="R861" s="434"/>
      <c r="S861" s="434"/>
      <c r="T861" s="434"/>
      <c r="U861" s="434"/>
      <c r="V861" s="434"/>
      <c r="W861" s="434"/>
    </row>
    <row r="862">
      <c r="A862" s="434"/>
      <c r="B862" s="434"/>
      <c r="C862" s="434"/>
      <c r="D862" s="434"/>
      <c r="E862" s="434"/>
      <c r="F862" s="434"/>
      <c r="G862" s="434"/>
      <c r="H862" s="434"/>
      <c r="I862" s="434"/>
      <c r="J862" s="434"/>
      <c r="K862" s="434"/>
      <c r="L862" s="434"/>
      <c r="M862" s="434"/>
      <c r="N862" s="434"/>
      <c r="O862" s="434"/>
      <c r="P862" s="434"/>
      <c r="Q862" s="434"/>
      <c r="R862" s="434"/>
      <c r="S862" s="434"/>
      <c r="T862" s="434"/>
      <c r="U862" s="434"/>
      <c r="V862" s="434"/>
      <c r="W862" s="434"/>
    </row>
    <row r="863">
      <c r="A863" s="434"/>
      <c r="B863" s="434"/>
      <c r="C863" s="434"/>
      <c r="D863" s="434"/>
      <c r="E863" s="434"/>
      <c r="F863" s="434"/>
      <c r="G863" s="434"/>
      <c r="H863" s="434"/>
      <c r="I863" s="434"/>
      <c r="J863" s="434"/>
      <c r="K863" s="434"/>
      <c r="L863" s="434"/>
      <c r="M863" s="434"/>
      <c r="N863" s="434"/>
      <c r="O863" s="434"/>
      <c r="P863" s="434"/>
      <c r="Q863" s="434"/>
      <c r="R863" s="434"/>
      <c r="S863" s="434"/>
      <c r="T863" s="434"/>
      <c r="U863" s="434"/>
      <c r="V863" s="434"/>
      <c r="W863" s="434"/>
    </row>
    <row r="864">
      <c r="A864" s="434"/>
      <c r="B864" s="434"/>
      <c r="C864" s="434"/>
      <c r="D864" s="434"/>
      <c r="E864" s="434"/>
      <c r="F864" s="434"/>
      <c r="G864" s="434"/>
      <c r="H864" s="434"/>
      <c r="I864" s="434"/>
      <c r="J864" s="434"/>
      <c r="K864" s="434"/>
      <c r="L864" s="434"/>
      <c r="M864" s="434"/>
      <c r="N864" s="434"/>
      <c r="O864" s="434"/>
      <c r="P864" s="434"/>
      <c r="Q864" s="434"/>
      <c r="R864" s="434"/>
      <c r="S864" s="434"/>
      <c r="T864" s="434"/>
      <c r="U864" s="434"/>
      <c r="V864" s="434"/>
      <c r="W864" s="434"/>
    </row>
    <row r="865">
      <c r="A865" s="434"/>
      <c r="B865" s="434"/>
      <c r="C865" s="434"/>
      <c r="D865" s="434"/>
      <c r="E865" s="434"/>
      <c r="F865" s="434"/>
      <c r="G865" s="434"/>
      <c r="H865" s="434"/>
      <c r="I865" s="434"/>
      <c r="J865" s="434"/>
      <c r="K865" s="434"/>
      <c r="L865" s="434"/>
      <c r="M865" s="434"/>
      <c r="N865" s="434"/>
      <c r="O865" s="434"/>
      <c r="P865" s="434"/>
      <c r="Q865" s="434"/>
      <c r="R865" s="434"/>
      <c r="S865" s="434"/>
      <c r="T865" s="434"/>
      <c r="U865" s="434"/>
      <c r="V865" s="434"/>
      <c r="W865" s="434"/>
    </row>
    <row r="866">
      <c r="A866" s="434"/>
      <c r="B866" s="434"/>
      <c r="C866" s="434"/>
      <c r="D866" s="434"/>
      <c r="E866" s="434"/>
      <c r="F866" s="434"/>
      <c r="G866" s="434"/>
      <c r="H866" s="434"/>
      <c r="I866" s="434"/>
      <c r="J866" s="434"/>
      <c r="K866" s="434"/>
      <c r="L866" s="434"/>
      <c r="M866" s="434"/>
      <c r="N866" s="434"/>
      <c r="O866" s="434"/>
      <c r="P866" s="434"/>
      <c r="Q866" s="434"/>
      <c r="R866" s="434"/>
      <c r="S866" s="434"/>
      <c r="T866" s="434"/>
      <c r="U866" s="434"/>
      <c r="V866" s="434"/>
      <c r="W866" s="434"/>
    </row>
    <row r="867">
      <c r="A867" s="434"/>
      <c r="B867" s="434"/>
      <c r="C867" s="434"/>
      <c r="D867" s="434"/>
      <c r="E867" s="434"/>
      <c r="F867" s="434"/>
      <c r="G867" s="434"/>
      <c r="H867" s="434"/>
      <c r="I867" s="434"/>
      <c r="J867" s="434"/>
      <c r="K867" s="434"/>
      <c r="L867" s="434"/>
      <c r="M867" s="434"/>
      <c r="N867" s="434"/>
      <c r="O867" s="434"/>
      <c r="P867" s="434"/>
      <c r="Q867" s="434"/>
      <c r="R867" s="434"/>
      <c r="S867" s="434"/>
      <c r="T867" s="434"/>
      <c r="U867" s="434"/>
      <c r="V867" s="434"/>
      <c r="W867" s="434"/>
    </row>
    <row r="868">
      <c r="A868" s="434"/>
      <c r="B868" s="434"/>
      <c r="C868" s="434"/>
      <c r="D868" s="434"/>
      <c r="E868" s="434"/>
      <c r="F868" s="434"/>
      <c r="G868" s="434"/>
      <c r="H868" s="434"/>
      <c r="I868" s="434"/>
      <c r="J868" s="434"/>
      <c r="K868" s="434"/>
      <c r="L868" s="434"/>
      <c r="M868" s="434"/>
      <c r="N868" s="434"/>
      <c r="O868" s="434"/>
      <c r="P868" s="434"/>
      <c r="Q868" s="434"/>
      <c r="R868" s="434"/>
      <c r="S868" s="434"/>
      <c r="T868" s="434"/>
      <c r="U868" s="434"/>
      <c r="V868" s="434"/>
      <c r="W868" s="434"/>
    </row>
    <row r="869">
      <c r="A869" s="434"/>
      <c r="B869" s="434"/>
      <c r="C869" s="434"/>
      <c r="D869" s="434"/>
      <c r="E869" s="434"/>
      <c r="F869" s="434"/>
      <c r="G869" s="434"/>
      <c r="H869" s="434"/>
      <c r="I869" s="434"/>
      <c r="J869" s="434"/>
      <c r="K869" s="434"/>
      <c r="L869" s="434"/>
      <c r="M869" s="434"/>
      <c r="N869" s="434"/>
      <c r="O869" s="434"/>
      <c r="P869" s="434"/>
      <c r="Q869" s="434"/>
      <c r="R869" s="434"/>
      <c r="S869" s="434"/>
      <c r="T869" s="434"/>
      <c r="U869" s="434"/>
      <c r="V869" s="434"/>
      <c r="W869" s="434"/>
    </row>
    <row r="870">
      <c r="A870" s="434"/>
      <c r="B870" s="434"/>
      <c r="C870" s="434"/>
      <c r="D870" s="434"/>
      <c r="E870" s="434"/>
      <c r="F870" s="434"/>
      <c r="G870" s="434"/>
      <c r="H870" s="434"/>
      <c r="I870" s="434"/>
      <c r="J870" s="434"/>
      <c r="K870" s="434"/>
      <c r="L870" s="434"/>
      <c r="M870" s="434"/>
      <c r="N870" s="434"/>
      <c r="O870" s="434"/>
      <c r="P870" s="434"/>
      <c r="Q870" s="434"/>
      <c r="R870" s="434"/>
      <c r="S870" s="434"/>
      <c r="T870" s="434"/>
      <c r="U870" s="434"/>
      <c r="V870" s="434"/>
      <c r="W870" s="434"/>
    </row>
    <row r="871">
      <c r="A871" s="434"/>
      <c r="B871" s="434"/>
      <c r="C871" s="434"/>
      <c r="D871" s="434"/>
      <c r="E871" s="434"/>
      <c r="F871" s="434"/>
      <c r="G871" s="434"/>
      <c r="H871" s="434"/>
      <c r="I871" s="434"/>
      <c r="J871" s="434"/>
      <c r="K871" s="434"/>
      <c r="L871" s="434"/>
      <c r="M871" s="434"/>
      <c r="N871" s="434"/>
      <c r="O871" s="434"/>
      <c r="P871" s="434"/>
      <c r="Q871" s="434"/>
      <c r="R871" s="434"/>
      <c r="S871" s="434"/>
      <c r="T871" s="434"/>
      <c r="U871" s="434"/>
      <c r="V871" s="434"/>
      <c r="W871" s="434"/>
    </row>
    <row r="872">
      <c r="A872" s="434"/>
      <c r="B872" s="434"/>
      <c r="C872" s="434"/>
      <c r="D872" s="434"/>
      <c r="E872" s="434"/>
      <c r="F872" s="434"/>
      <c r="G872" s="434"/>
      <c r="H872" s="434"/>
      <c r="I872" s="434"/>
      <c r="J872" s="434"/>
      <c r="K872" s="434"/>
      <c r="L872" s="434"/>
      <c r="M872" s="434"/>
      <c r="N872" s="434"/>
      <c r="O872" s="434"/>
      <c r="P872" s="434"/>
      <c r="Q872" s="434"/>
      <c r="R872" s="434"/>
      <c r="S872" s="434"/>
      <c r="T872" s="434"/>
      <c r="U872" s="434"/>
      <c r="V872" s="434"/>
      <c r="W872" s="434"/>
    </row>
    <row r="873">
      <c r="A873" s="434"/>
      <c r="B873" s="434"/>
      <c r="C873" s="434"/>
      <c r="D873" s="434"/>
      <c r="E873" s="434"/>
      <c r="F873" s="434"/>
      <c r="G873" s="434"/>
      <c r="H873" s="434"/>
      <c r="I873" s="434"/>
      <c r="J873" s="434"/>
      <c r="K873" s="434"/>
      <c r="L873" s="434"/>
      <c r="M873" s="434"/>
      <c r="N873" s="434"/>
      <c r="O873" s="434"/>
      <c r="P873" s="434"/>
      <c r="Q873" s="434"/>
      <c r="R873" s="434"/>
      <c r="S873" s="434"/>
      <c r="T873" s="434"/>
      <c r="U873" s="434"/>
      <c r="V873" s="434"/>
      <c r="W873" s="434"/>
    </row>
    <row r="874">
      <c r="A874" s="434"/>
      <c r="B874" s="434"/>
      <c r="C874" s="434"/>
      <c r="D874" s="434"/>
      <c r="E874" s="434"/>
      <c r="F874" s="434"/>
      <c r="G874" s="434"/>
      <c r="H874" s="434"/>
      <c r="I874" s="434"/>
      <c r="J874" s="434"/>
      <c r="K874" s="434"/>
      <c r="L874" s="434"/>
      <c r="M874" s="434"/>
      <c r="N874" s="434"/>
      <c r="O874" s="434"/>
      <c r="P874" s="434"/>
      <c r="Q874" s="434"/>
      <c r="R874" s="434"/>
      <c r="S874" s="434"/>
      <c r="T874" s="434"/>
      <c r="U874" s="434"/>
      <c r="V874" s="434"/>
      <c r="W874" s="434"/>
    </row>
    <row r="875">
      <c r="A875" s="434"/>
      <c r="B875" s="434"/>
      <c r="C875" s="434"/>
      <c r="D875" s="434"/>
      <c r="E875" s="434"/>
      <c r="F875" s="434"/>
      <c r="G875" s="434"/>
      <c r="H875" s="434"/>
      <c r="I875" s="434"/>
      <c r="J875" s="434"/>
      <c r="K875" s="434"/>
      <c r="L875" s="434"/>
      <c r="M875" s="434"/>
      <c r="N875" s="434"/>
      <c r="O875" s="434"/>
      <c r="P875" s="434"/>
      <c r="Q875" s="434"/>
      <c r="R875" s="434"/>
      <c r="S875" s="434"/>
      <c r="T875" s="434"/>
      <c r="U875" s="434"/>
      <c r="V875" s="434"/>
      <c r="W875" s="434"/>
    </row>
    <row r="876">
      <c r="A876" s="434"/>
      <c r="B876" s="434"/>
      <c r="C876" s="434"/>
      <c r="D876" s="434"/>
      <c r="E876" s="434"/>
      <c r="F876" s="434"/>
      <c r="G876" s="434"/>
      <c r="H876" s="434"/>
      <c r="I876" s="434"/>
      <c r="J876" s="434"/>
      <c r="K876" s="434"/>
      <c r="L876" s="434"/>
      <c r="M876" s="434"/>
      <c r="N876" s="434"/>
      <c r="O876" s="434"/>
      <c r="P876" s="434"/>
      <c r="Q876" s="434"/>
      <c r="R876" s="434"/>
      <c r="S876" s="434"/>
      <c r="T876" s="434"/>
      <c r="U876" s="434"/>
      <c r="V876" s="434"/>
      <c r="W876" s="434"/>
    </row>
    <row r="877">
      <c r="A877" s="434"/>
      <c r="B877" s="434"/>
      <c r="C877" s="434"/>
      <c r="D877" s="434"/>
      <c r="E877" s="434"/>
      <c r="F877" s="434"/>
      <c r="G877" s="434"/>
      <c r="H877" s="434"/>
      <c r="I877" s="434"/>
      <c r="J877" s="434"/>
      <c r="K877" s="434"/>
      <c r="L877" s="434"/>
      <c r="M877" s="434"/>
      <c r="N877" s="434"/>
      <c r="O877" s="434"/>
      <c r="P877" s="434"/>
      <c r="Q877" s="434"/>
      <c r="R877" s="434"/>
      <c r="S877" s="434"/>
      <c r="T877" s="434"/>
      <c r="U877" s="434"/>
      <c r="V877" s="434"/>
      <c r="W877" s="434"/>
    </row>
    <row r="878">
      <c r="A878" s="434"/>
      <c r="B878" s="434"/>
      <c r="C878" s="434"/>
      <c r="D878" s="434"/>
      <c r="E878" s="434"/>
      <c r="F878" s="434"/>
      <c r="G878" s="434"/>
      <c r="H878" s="434"/>
      <c r="I878" s="434"/>
      <c r="J878" s="434"/>
      <c r="K878" s="434"/>
      <c r="L878" s="434"/>
      <c r="M878" s="434"/>
      <c r="N878" s="434"/>
      <c r="O878" s="434"/>
      <c r="P878" s="434"/>
      <c r="Q878" s="434"/>
      <c r="R878" s="434"/>
      <c r="S878" s="434"/>
      <c r="T878" s="434"/>
      <c r="U878" s="434"/>
      <c r="V878" s="434"/>
      <c r="W878" s="434"/>
    </row>
    <row r="879">
      <c r="A879" s="434"/>
      <c r="B879" s="434"/>
      <c r="C879" s="434"/>
      <c r="D879" s="434"/>
      <c r="E879" s="434"/>
      <c r="F879" s="434"/>
      <c r="G879" s="434"/>
      <c r="H879" s="434"/>
      <c r="I879" s="434"/>
      <c r="J879" s="434"/>
      <c r="K879" s="434"/>
      <c r="L879" s="434"/>
      <c r="M879" s="434"/>
      <c r="N879" s="434"/>
      <c r="O879" s="434"/>
      <c r="P879" s="434"/>
      <c r="Q879" s="434"/>
      <c r="R879" s="434"/>
      <c r="S879" s="434"/>
      <c r="T879" s="434"/>
      <c r="U879" s="434"/>
      <c r="V879" s="434"/>
      <c r="W879" s="434"/>
    </row>
    <row r="880">
      <c r="A880" s="434"/>
      <c r="B880" s="434"/>
      <c r="C880" s="434"/>
      <c r="D880" s="434"/>
      <c r="E880" s="434"/>
      <c r="F880" s="434"/>
      <c r="G880" s="434"/>
      <c r="H880" s="434"/>
      <c r="I880" s="434"/>
      <c r="J880" s="434"/>
      <c r="K880" s="434"/>
      <c r="L880" s="434"/>
      <c r="M880" s="434"/>
      <c r="N880" s="434"/>
      <c r="O880" s="434"/>
      <c r="P880" s="434"/>
      <c r="Q880" s="434"/>
      <c r="R880" s="434"/>
      <c r="S880" s="434"/>
      <c r="T880" s="434"/>
      <c r="U880" s="434"/>
      <c r="V880" s="434"/>
      <c r="W880" s="434"/>
    </row>
    <row r="881">
      <c r="A881" s="434"/>
      <c r="B881" s="434"/>
      <c r="C881" s="434"/>
      <c r="D881" s="434"/>
      <c r="E881" s="434"/>
      <c r="F881" s="434"/>
      <c r="G881" s="434"/>
      <c r="H881" s="434"/>
      <c r="I881" s="434"/>
      <c r="J881" s="434"/>
      <c r="K881" s="434"/>
      <c r="L881" s="434"/>
      <c r="M881" s="434"/>
      <c r="N881" s="434"/>
      <c r="O881" s="434"/>
      <c r="P881" s="434"/>
      <c r="Q881" s="434"/>
      <c r="R881" s="434"/>
      <c r="S881" s="434"/>
      <c r="T881" s="434"/>
      <c r="U881" s="434"/>
      <c r="V881" s="434"/>
      <c r="W881" s="434"/>
    </row>
    <row r="882">
      <c r="A882" s="434"/>
      <c r="B882" s="434"/>
      <c r="C882" s="434"/>
      <c r="D882" s="434"/>
      <c r="E882" s="434"/>
      <c r="F882" s="434"/>
      <c r="G882" s="434"/>
      <c r="H882" s="434"/>
      <c r="I882" s="434"/>
      <c r="J882" s="434"/>
      <c r="K882" s="434"/>
      <c r="L882" s="434"/>
      <c r="M882" s="434"/>
      <c r="N882" s="434"/>
      <c r="O882" s="434"/>
      <c r="P882" s="434"/>
      <c r="Q882" s="434"/>
      <c r="R882" s="434"/>
      <c r="S882" s="434"/>
      <c r="T882" s="434"/>
      <c r="U882" s="434"/>
      <c r="V882" s="434"/>
      <c r="W882" s="434"/>
    </row>
    <row r="883">
      <c r="A883" s="434"/>
      <c r="B883" s="434"/>
      <c r="C883" s="434"/>
      <c r="D883" s="434"/>
      <c r="E883" s="434"/>
      <c r="F883" s="434"/>
      <c r="G883" s="434"/>
      <c r="H883" s="434"/>
      <c r="I883" s="434"/>
      <c r="J883" s="434"/>
      <c r="K883" s="434"/>
      <c r="L883" s="434"/>
      <c r="M883" s="434"/>
      <c r="N883" s="434"/>
      <c r="O883" s="434"/>
      <c r="P883" s="434"/>
      <c r="Q883" s="434"/>
      <c r="R883" s="434"/>
      <c r="S883" s="434"/>
      <c r="T883" s="434"/>
      <c r="U883" s="434"/>
      <c r="V883" s="434"/>
      <c r="W883" s="434"/>
    </row>
    <row r="884">
      <c r="A884" s="434"/>
      <c r="B884" s="434"/>
      <c r="C884" s="434"/>
      <c r="D884" s="434"/>
      <c r="E884" s="434"/>
      <c r="F884" s="434"/>
      <c r="G884" s="434"/>
      <c r="H884" s="434"/>
      <c r="I884" s="434"/>
      <c r="J884" s="434"/>
      <c r="K884" s="434"/>
      <c r="L884" s="434"/>
      <c r="M884" s="434"/>
      <c r="N884" s="434"/>
      <c r="O884" s="434"/>
      <c r="P884" s="434"/>
      <c r="Q884" s="434"/>
      <c r="R884" s="434"/>
      <c r="S884" s="434"/>
      <c r="T884" s="434"/>
      <c r="U884" s="434"/>
      <c r="V884" s="434"/>
      <c r="W884" s="434"/>
    </row>
    <row r="885">
      <c r="A885" s="434"/>
      <c r="B885" s="434"/>
      <c r="C885" s="434"/>
      <c r="D885" s="434"/>
      <c r="E885" s="434"/>
      <c r="F885" s="434"/>
      <c r="G885" s="434"/>
      <c r="H885" s="434"/>
      <c r="I885" s="434"/>
      <c r="J885" s="434"/>
      <c r="K885" s="434"/>
      <c r="L885" s="434"/>
      <c r="M885" s="434"/>
      <c r="N885" s="434"/>
      <c r="O885" s="434"/>
      <c r="P885" s="434"/>
      <c r="Q885" s="434"/>
      <c r="R885" s="434"/>
      <c r="S885" s="434"/>
      <c r="T885" s="434"/>
      <c r="U885" s="434"/>
      <c r="V885" s="434"/>
      <c r="W885" s="434"/>
    </row>
    <row r="886">
      <c r="A886" s="434"/>
      <c r="B886" s="434"/>
      <c r="C886" s="434"/>
      <c r="D886" s="434"/>
      <c r="E886" s="434"/>
      <c r="F886" s="434"/>
      <c r="G886" s="434"/>
      <c r="H886" s="434"/>
      <c r="I886" s="434"/>
      <c r="J886" s="434"/>
      <c r="K886" s="434"/>
      <c r="L886" s="434"/>
      <c r="M886" s="434"/>
      <c r="N886" s="434"/>
      <c r="O886" s="434"/>
      <c r="P886" s="434"/>
      <c r="Q886" s="434"/>
      <c r="R886" s="434"/>
      <c r="S886" s="434"/>
      <c r="T886" s="434"/>
      <c r="U886" s="434"/>
      <c r="V886" s="434"/>
      <c r="W886" s="434"/>
    </row>
    <row r="887">
      <c r="A887" s="434"/>
      <c r="B887" s="434"/>
      <c r="C887" s="434"/>
      <c r="D887" s="434"/>
      <c r="E887" s="434"/>
      <c r="F887" s="434"/>
      <c r="G887" s="434"/>
      <c r="H887" s="434"/>
      <c r="I887" s="434"/>
      <c r="J887" s="434"/>
      <c r="K887" s="434"/>
      <c r="L887" s="434"/>
      <c r="M887" s="434"/>
      <c r="N887" s="434"/>
      <c r="O887" s="434"/>
      <c r="P887" s="434"/>
      <c r="Q887" s="434"/>
      <c r="R887" s="434"/>
      <c r="S887" s="434"/>
      <c r="T887" s="434"/>
      <c r="U887" s="434"/>
      <c r="V887" s="434"/>
      <c r="W887" s="434"/>
    </row>
    <row r="888">
      <c r="A888" s="434"/>
      <c r="B888" s="434"/>
      <c r="C888" s="434"/>
      <c r="D888" s="434"/>
      <c r="E888" s="434"/>
      <c r="F888" s="434"/>
      <c r="G888" s="434"/>
      <c r="H888" s="434"/>
      <c r="I888" s="434"/>
      <c r="J888" s="434"/>
      <c r="K888" s="434"/>
      <c r="L888" s="434"/>
      <c r="M888" s="434"/>
      <c r="N888" s="434"/>
      <c r="O888" s="434"/>
      <c r="P888" s="434"/>
      <c r="Q888" s="434"/>
      <c r="R888" s="434"/>
      <c r="S888" s="434"/>
      <c r="T888" s="434"/>
      <c r="U888" s="434"/>
      <c r="V888" s="434"/>
      <c r="W888" s="434"/>
    </row>
    <row r="889">
      <c r="A889" s="434"/>
      <c r="B889" s="434"/>
      <c r="C889" s="434"/>
      <c r="D889" s="434"/>
      <c r="E889" s="434"/>
      <c r="F889" s="434"/>
      <c r="G889" s="434"/>
      <c r="H889" s="434"/>
      <c r="I889" s="434"/>
      <c r="J889" s="434"/>
      <c r="K889" s="434"/>
      <c r="L889" s="434"/>
      <c r="M889" s="434"/>
      <c r="N889" s="434"/>
      <c r="O889" s="434"/>
      <c r="P889" s="434"/>
      <c r="Q889" s="434"/>
      <c r="R889" s="434"/>
      <c r="S889" s="434"/>
      <c r="T889" s="434"/>
      <c r="U889" s="434"/>
      <c r="V889" s="434"/>
      <c r="W889" s="434"/>
    </row>
    <row r="890">
      <c r="A890" s="434"/>
      <c r="B890" s="434"/>
      <c r="C890" s="434"/>
      <c r="D890" s="434"/>
      <c r="E890" s="434"/>
      <c r="F890" s="434"/>
      <c r="G890" s="434"/>
      <c r="H890" s="434"/>
      <c r="I890" s="434"/>
      <c r="J890" s="434"/>
      <c r="K890" s="434"/>
      <c r="L890" s="434"/>
      <c r="M890" s="434"/>
      <c r="N890" s="434"/>
      <c r="O890" s="434"/>
      <c r="P890" s="434"/>
      <c r="Q890" s="434"/>
      <c r="R890" s="434"/>
      <c r="S890" s="434"/>
      <c r="T890" s="434"/>
      <c r="U890" s="434"/>
      <c r="V890" s="434"/>
      <c r="W890" s="434"/>
    </row>
    <row r="891">
      <c r="A891" s="434"/>
      <c r="B891" s="434"/>
      <c r="C891" s="434"/>
      <c r="D891" s="434"/>
      <c r="E891" s="434"/>
      <c r="F891" s="434"/>
      <c r="G891" s="434"/>
      <c r="H891" s="434"/>
      <c r="I891" s="434"/>
      <c r="J891" s="434"/>
      <c r="K891" s="434"/>
      <c r="L891" s="434"/>
      <c r="M891" s="434"/>
      <c r="N891" s="434"/>
      <c r="O891" s="434"/>
      <c r="P891" s="434"/>
      <c r="Q891" s="434"/>
      <c r="R891" s="434"/>
      <c r="S891" s="434"/>
      <c r="T891" s="434"/>
      <c r="U891" s="434"/>
      <c r="V891" s="434"/>
      <c r="W891" s="434"/>
    </row>
    <row r="892">
      <c r="A892" s="434"/>
      <c r="B892" s="434"/>
      <c r="C892" s="434"/>
      <c r="D892" s="434"/>
      <c r="E892" s="434"/>
      <c r="F892" s="434"/>
      <c r="G892" s="434"/>
      <c r="H892" s="434"/>
      <c r="I892" s="434"/>
      <c r="J892" s="434"/>
      <c r="K892" s="434"/>
      <c r="L892" s="434"/>
      <c r="M892" s="434"/>
      <c r="N892" s="434"/>
      <c r="O892" s="434"/>
      <c r="P892" s="434"/>
      <c r="Q892" s="434"/>
      <c r="R892" s="434"/>
      <c r="S892" s="434"/>
      <c r="T892" s="434"/>
      <c r="U892" s="434"/>
      <c r="V892" s="434"/>
      <c r="W892" s="434"/>
    </row>
    <row r="893">
      <c r="A893" s="434"/>
      <c r="B893" s="434"/>
      <c r="C893" s="434"/>
      <c r="D893" s="434"/>
      <c r="E893" s="434"/>
      <c r="F893" s="434"/>
      <c r="G893" s="434"/>
      <c r="H893" s="434"/>
      <c r="I893" s="434"/>
      <c r="J893" s="434"/>
      <c r="K893" s="434"/>
      <c r="L893" s="434"/>
      <c r="M893" s="434"/>
      <c r="N893" s="434"/>
      <c r="O893" s="434"/>
      <c r="P893" s="434"/>
      <c r="Q893" s="434"/>
      <c r="R893" s="434"/>
      <c r="S893" s="434"/>
      <c r="T893" s="434"/>
      <c r="U893" s="434"/>
      <c r="V893" s="434"/>
      <c r="W893" s="434"/>
    </row>
    <row r="894">
      <c r="A894" s="434"/>
      <c r="B894" s="434"/>
      <c r="C894" s="434"/>
      <c r="D894" s="434"/>
      <c r="E894" s="434"/>
      <c r="F894" s="434"/>
      <c r="G894" s="434"/>
      <c r="H894" s="434"/>
      <c r="I894" s="434"/>
      <c r="J894" s="434"/>
      <c r="K894" s="434"/>
      <c r="L894" s="434"/>
      <c r="M894" s="434"/>
      <c r="N894" s="434"/>
      <c r="O894" s="434"/>
      <c r="P894" s="434"/>
      <c r="Q894" s="434"/>
      <c r="R894" s="434"/>
      <c r="S894" s="434"/>
      <c r="T894" s="434"/>
      <c r="U894" s="434"/>
      <c r="V894" s="434"/>
      <c r="W894" s="434"/>
    </row>
    <row r="895">
      <c r="A895" s="434"/>
      <c r="B895" s="434"/>
      <c r="C895" s="434"/>
      <c r="D895" s="434"/>
      <c r="E895" s="434"/>
      <c r="F895" s="434"/>
      <c r="G895" s="434"/>
      <c r="H895" s="434"/>
      <c r="I895" s="434"/>
      <c r="J895" s="434"/>
      <c r="K895" s="434"/>
      <c r="L895" s="434"/>
      <c r="M895" s="434"/>
      <c r="N895" s="434"/>
      <c r="O895" s="434"/>
      <c r="P895" s="434"/>
      <c r="Q895" s="434"/>
      <c r="R895" s="434"/>
      <c r="S895" s="434"/>
      <c r="T895" s="434"/>
      <c r="U895" s="434"/>
      <c r="V895" s="434"/>
      <c r="W895" s="434"/>
    </row>
    <row r="896">
      <c r="A896" s="434"/>
      <c r="B896" s="434"/>
      <c r="C896" s="434"/>
      <c r="D896" s="434"/>
      <c r="E896" s="434"/>
      <c r="F896" s="434"/>
      <c r="G896" s="434"/>
      <c r="H896" s="434"/>
      <c r="I896" s="434"/>
      <c r="J896" s="434"/>
      <c r="K896" s="434"/>
      <c r="L896" s="434"/>
      <c r="M896" s="434"/>
      <c r="N896" s="434"/>
      <c r="O896" s="434"/>
      <c r="P896" s="434"/>
      <c r="Q896" s="434"/>
      <c r="R896" s="434"/>
      <c r="S896" s="434"/>
      <c r="T896" s="434"/>
      <c r="U896" s="434"/>
      <c r="V896" s="434"/>
      <c r="W896" s="434"/>
    </row>
    <row r="897">
      <c r="A897" s="434"/>
      <c r="B897" s="434"/>
      <c r="C897" s="434"/>
      <c r="D897" s="434"/>
      <c r="E897" s="434"/>
      <c r="F897" s="434"/>
      <c r="G897" s="434"/>
      <c r="H897" s="434"/>
      <c r="I897" s="434"/>
      <c r="J897" s="434"/>
      <c r="K897" s="434"/>
      <c r="L897" s="434"/>
      <c r="M897" s="434"/>
      <c r="N897" s="434"/>
      <c r="O897" s="434"/>
      <c r="P897" s="434"/>
      <c r="Q897" s="434"/>
      <c r="R897" s="434"/>
      <c r="S897" s="434"/>
      <c r="T897" s="434"/>
      <c r="U897" s="434"/>
      <c r="V897" s="434"/>
      <c r="W897" s="434"/>
    </row>
    <row r="898">
      <c r="A898" s="434"/>
      <c r="B898" s="434"/>
      <c r="C898" s="434"/>
      <c r="D898" s="434"/>
      <c r="E898" s="434"/>
      <c r="F898" s="434"/>
      <c r="G898" s="434"/>
      <c r="H898" s="434"/>
      <c r="I898" s="434"/>
      <c r="J898" s="434"/>
      <c r="K898" s="434"/>
      <c r="L898" s="434"/>
      <c r="M898" s="434"/>
      <c r="N898" s="434"/>
      <c r="O898" s="434"/>
      <c r="P898" s="434"/>
      <c r="Q898" s="434"/>
      <c r="R898" s="434"/>
      <c r="S898" s="434"/>
      <c r="T898" s="434"/>
      <c r="U898" s="434"/>
      <c r="V898" s="434"/>
      <c r="W898" s="434"/>
    </row>
    <row r="899">
      <c r="A899" s="434"/>
      <c r="B899" s="434"/>
      <c r="C899" s="434"/>
      <c r="D899" s="434"/>
      <c r="E899" s="434"/>
      <c r="F899" s="434"/>
      <c r="G899" s="434"/>
      <c r="H899" s="434"/>
      <c r="I899" s="434"/>
      <c r="J899" s="434"/>
      <c r="K899" s="434"/>
      <c r="L899" s="434"/>
      <c r="M899" s="434"/>
      <c r="N899" s="434"/>
      <c r="O899" s="434"/>
      <c r="P899" s="434"/>
      <c r="Q899" s="434"/>
      <c r="R899" s="434"/>
      <c r="S899" s="434"/>
      <c r="T899" s="434"/>
      <c r="U899" s="434"/>
      <c r="V899" s="434"/>
      <c r="W899" s="434"/>
    </row>
    <row r="900">
      <c r="A900" s="434"/>
      <c r="B900" s="434"/>
      <c r="C900" s="434"/>
      <c r="D900" s="434"/>
      <c r="E900" s="434"/>
      <c r="F900" s="434"/>
      <c r="G900" s="434"/>
      <c r="H900" s="434"/>
      <c r="I900" s="434"/>
      <c r="J900" s="434"/>
      <c r="K900" s="434"/>
      <c r="L900" s="434"/>
      <c r="M900" s="434"/>
      <c r="N900" s="434"/>
      <c r="O900" s="434"/>
      <c r="P900" s="434"/>
      <c r="Q900" s="434"/>
      <c r="R900" s="434"/>
      <c r="S900" s="434"/>
      <c r="T900" s="434"/>
      <c r="U900" s="434"/>
      <c r="V900" s="434"/>
      <c r="W900" s="434"/>
    </row>
    <row r="901">
      <c r="A901" s="434"/>
      <c r="B901" s="434"/>
      <c r="C901" s="434"/>
      <c r="D901" s="434"/>
      <c r="E901" s="434"/>
      <c r="F901" s="434"/>
      <c r="G901" s="434"/>
      <c r="H901" s="434"/>
      <c r="I901" s="434"/>
      <c r="J901" s="434"/>
      <c r="K901" s="434"/>
      <c r="L901" s="434"/>
      <c r="M901" s="434"/>
      <c r="N901" s="434"/>
      <c r="O901" s="434"/>
      <c r="P901" s="434"/>
      <c r="Q901" s="434"/>
      <c r="R901" s="434"/>
      <c r="S901" s="434"/>
      <c r="T901" s="434"/>
      <c r="U901" s="434"/>
      <c r="V901" s="434"/>
      <c r="W901" s="434"/>
    </row>
    <row r="902">
      <c r="A902" s="434"/>
      <c r="B902" s="434"/>
      <c r="C902" s="434"/>
      <c r="D902" s="434"/>
      <c r="E902" s="434"/>
      <c r="F902" s="434"/>
      <c r="G902" s="434"/>
      <c r="H902" s="434"/>
      <c r="I902" s="434"/>
      <c r="J902" s="434"/>
      <c r="K902" s="434"/>
      <c r="L902" s="434"/>
      <c r="M902" s="434"/>
      <c r="N902" s="434"/>
      <c r="O902" s="434"/>
      <c r="P902" s="434"/>
      <c r="Q902" s="434"/>
      <c r="R902" s="434"/>
      <c r="S902" s="434"/>
      <c r="T902" s="434"/>
      <c r="U902" s="434"/>
      <c r="V902" s="434"/>
      <c r="W902" s="434"/>
    </row>
    <row r="903">
      <c r="A903" s="434"/>
      <c r="B903" s="434"/>
      <c r="C903" s="434"/>
      <c r="D903" s="434"/>
      <c r="E903" s="434"/>
      <c r="F903" s="434"/>
      <c r="G903" s="434"/>
      <c r="H903" s="434"/>
      <c r="I903" s="434"/>
      <c r="J903" s="434"/>
      <c r="K903" s="434"/>
      <c r="L903" s="434"/>
      <c r="M903" s="434"/>
      <c r="N903" s="434"/>
      <c r="O903" s="434"/>
      <c r="P903" s="434"/>
      <c r="Q903" s="434"/>
      <c r="R903" s="434"/>
      <c r="S903" s="434"/>
      <c r="T903" s="434"/>
      <c r="U903" s="434"/>
      <c r="V903" s="434"/>
      <c r="W903" s="434"/>
    </row>
    <row r="904">
      <c r="A904" s="434"/>
      <c r="B904" s="434"/>
      <c r="C904" s="434"/>
      <c r="D904" s="434"/>
      <c r="E904" s="434"/>
      <c r="F904" s="434"/>
      <c r="G904" s="434"/>
      <c r="H904" s="434"/>
      <c r="I904" s="434"/>
      <c r="J904" s="434"/>
      <c r="K904" s="434"/>
      <c r="L904" s="434"/>
      <c r="M904" s="434"/>
      <c r="N904" s="434"/>
      <c r="O904" s="434"/>
      <c r="P904" s="434"/>
      <c r="Q904" s="434"/>
      <c r="R904" s="434"/>
      <c r="S904" s="434"/>
      <c r="T904" s="434"/>
      <c r="U904" s="434"/>
      <c r="V904" s="434"/>
      <c r="W904" s="434"/>
    </row>
    <row r="905">
      <c r="A905" s="434"/>
      <c r="B905" s="434"/>
      <c r="C905" s="434"/>
      <c r="D905" s="434"/>
      <c r="E905" s="434"/>
      <c r="F905" s="434"/>
      <c r="G905" s="434"/>
      <c r="H905" s="434"/>
      <c r="I905" s="434"/>
      <c r="J905" s="434"/>
      <c r="K905" s="434"/>
      <c r="L905" s="434"/>
      <c r="M905" s="434"/>
      <c r="N905" s="434"/>
      <c r="O905" s="434"/>
      <c r="P905" s="434"/>
      <c r="Q905" s="434"/>
      <c r="R905" s="434"/>
      <c r="S905" s="434"/>
      <c r="T905" s="434"/>
      <c r="U905" s="434"/>
      <c r="V905" s="434"/>
      <c r="W905" s="434"/>
    </row>
    <row r="906">
      <c r="A906" s="434"/>
      <c r="B906" s="434"/>
      <c r="C906" s="434"/>
      <c r="D906" s="434"/>
      <c r="E906" s="434"/>
      <c r="F906" s="434"/>
      <c r="G906" s="434"/>
      <c r="H906" s="434"/>
      <c r="I906" s="434"/>
      <c r="J906" s="434"/>
      <c r="K906" s="434"/>
      <c r="L906" s="434"/>
      <c r="M906" s="434"/>
      <c r="N906" s="434"/>
      <c r="O906" s="434"/>
      <c r="P906" s="434"/>
      <c r="Q906" s="434"/>
      <c r="R906" s="434"/>
      <c r="S906" s="434"/>
      <c r="T906" s="434"/>
      <c r="U906" s="434"/>
      <c r="V906" s="434"/>
      <c r="W906" s="434"/>
    </row>
    <row r="907">
      <c r="A907" s="434"/>
      <c r="B907" s="434"/>
      <c r="C907" s="434"/>
      <c r="D907" s="434"/>
      <c r="E907" s="434"/>
      <c r="F907" s="434"/>
      <c r="G907" s="434"/>
      <c r="H907" s="434"/>
      <c r="I907" s="434"/>
      <c r="J907" s="434"/>
      <c r="K907" s="434"/>
      <c r="L907" s="434"/>
      <c r="M907" s="434"/>
      <c r="N907" s="434"/>
      <c r="O907" s="434"/>
      <c r="P907" s="434"/>
      <c r="Q907" s="434"/>
      <c r="R907" s="434"/>
      <c r="S907" s="434"/>
      <c r="T907" s="434"/>
      <c r="U907" s="434"/>
      <c r="V907" s="434"/>
      <c r="W907" s="434"/>
    </row>
    <row r="908">
      <c r="A908" s="434"/>
      <c r="B908" s="434"/>
      <c r="C908" s="434"/>
      <c r="D908" s="434"/>
      <c r="E908" s="434"/>
      <c r="F908" s="434"/>
      <c r="G908" s="434"/>
      <c r="H908" s="434"/>
      <c r="I908" s="434"/>
      <c r="J908" s="434"/>
      <c r="K908" s="434"/>
      <c r="L908" s="434"/>
      <c r="M908" s="434"/>
      <c r="N908" s="434"/>
      <c r="O908" s="434"/>
      <c r="P908" s="434"/>
      <c r="Q908" s="434"/>
      <c r="R908" s="434"/>
      <c r="S908" s="434"/>
      <c r="T908" s="434"/>
      <c r="U908" s="434"/>
      <c r="V908" s="434"/>
      <c r="W908" s="434"/>
    </row>
    <row r="909">
      <c r="A909" s="434"/>
      <c r="B909" s="434"/>
      <c r="C909" s="434"/>
      <c r="D909" s="434"/>
      <c r="E909" s="434"/>
      <c r="F909" s="434"/>
      <c r="G909" s="434"/>
      <c r="H909" s="434"/>
      <c r="I909" s="434"/>
      <c r="J909" s="434"/>
      <c r="K909" s="434"/>
      <c r="L909" s="434"/>
      <c r="M909" s="434"/>
      <c r="N909" s="434"/>
      <c r="O909" s="434"/>
      <c r="P909" s="434"/>
      <c r="Q909" s="434"/>
      <c r="R909" s="434"/>
      <c r="S909" s="434"/>
      <c r="T909" s="434"/>
      <c r="U909" s="434"/>
      <c r="V909" s="434"/>
      <c r="W909" s="434"/>
    </row>
    <row r="910">
      <c r="A910" s="434"/>
      <c r="B910" s="434"/>
      <c r="C910" s="434"/>
      <c r="D910" s="434"/>
      <c r="E910" s="434"/>
      <c r="F910" s="434"/>
      <c r="G910" s="434"/>
      <c r="H910" s="434"/>
      <c r="I910" s="434"/>
      <c r="J910" s="434"/>
      <c r="K910" s="434"/>
      <c r="L910" s="434"/>
      <c r="M910" s="434"/>
      <c r="N910" s="434"/>
      <c r="O910" s="434"/>
      <c r="P910" s="434"/>
      <c r="Q910" s="434"/>
      <c r="R910" s="434"/>
      <c r="S910" s="434"/>
      <c r="T910" s="434"/>
      <c r="U910" s="434"/>
      <c r="V910" s="434"/>
      <c r="W910" s="434"/>
    </row>
    <row r="911">
      <c r="A911" s="434"/>
      <c r="B911" s="434"/>
      <c r="C911" s="434"/>
      <c r="D911" s="434"/>
      <c r="E911" s="434"/>
      <c r="F911" s="434"/>
      <c r="G911" s="434"/>
      <c r="H911" s="434"/>
      <c r="I911" s="434"/>
      <c r="J911" s="434"/>
      <c r="K911" s="434"/>
      <c r="L911" s="434"/>
      <c r="M911" s="434"/>
      <c r="N911" s="434"/>
      <c r="O911" s="434"/>
      <c r="P911" s="434"/>
      <c r="Q911" s="434"/>
      <c r="R911" s="434"/>
      <c r="S911" s="434"/>
      <c r="T911" s="434"/>
      <c r="U911" s="434"/>
      <c r="V911" s="434"/>
      <c r="W911" s="434"/>
    </row>
    <row r="912">
      <c r="A912" s="434"/>
      <c r="B912" s="434"/>
      <c r="C912" s="434"/>
      <c r="D912" s="434"/>
      <c r="E912" s="434"/>
      <c r="F912" s="434"/>
      <c r="G912" s="434"/>
      <c r="H912" s="434"/>
      <c r="I912" s="434"/>
      <c r="J912" s="434"/>
      <c r="K912" s="434"/>
      <c r="L912" s="434"/>
      <c r="M912" s="434"/>
      <c r="N912" s="434"/>
      <c r="O912" s="434"/>
      <c r="P912" s="434"/>
      <c r="Q912" s="434"/>
      <c r="R912" s="434"/>
      <c r="S912" s="434"/>
      <c r="T912" s="434"/>
      <c r="U912" s="434"/>
      <c r="V912" s="434"/>
      <c r="W912" s="434"/>
    </row>
    <row r="913">
      <c r="A913" s="434"/>
      <c r="B913" s="434"/>
      <c r="C913" s="434"/>
      <c r="D913" s="434"/>
      <c r="E913" s="434"/>
      <c r="F913" s="434"/>
      <c r="G913" s="434"/>
      <c r="H913" s="434"/>
      <c r="I913" s="434"/>
      <c r="J913" s="434"/>
      <c r="K913" s="434"/>
      <c r="L913" s="434"/>
      <c r="M913" s="434"/>
      <c r="N913" s="434"/>
      <c r="O913" s="434"/>
      <c r="P913" s="434"/>
      <c r="Q913" s="434"/>
      <c r="R913" s="434"/>
      <c r="S913" s="434"/>
      <c r="T913" s="434"/>
      <c r="U913" s="434"/>
      <c r="V913" s="434"/>
      <c r="W913" s="434"/>
    </row>
    <row r="914">
      <c r="A914" s="434"/>
      <c r="B914" s="434"/>
      <c r="C914" s="434"/>
      <c r="D914" s="434"/>
      <c r="E914" s="434"/>
      <c r="F914" s="434"/>
      <c r="G914" s="434"/>
      <c r="H914" s="434"/>
      <c r="I914" s="434"/>
      <c r="J914" s="434"/>
      <c r="K914" s="434"/>
      <c r="L914" s="434"/>
      <c r="M914" s="434"/>
      <c r="N914" s="434"/>
      <c r="O914" s="434"/>
      <c r="P914" s="434"/>
      <c r="Q914" s="434"/>
      <c r="R914" s="434"/>
      <c r="S914" s="434"/>
      <c r="T914" s="434"/>
      <c r="U914" s="434"/>
      <c r="V914" s="434"/>
      <c r="W914" s="434"/>
    </row>
    <row r="915">
      <c r="A915" s="434"/>
      <c r="B915" s="434"/>
      <c r="C915" s="434"/>
      <c r="D915" s="434"/>
      <c r="E915" s="434"/>
      <c r="F915" s="434"/>
      <c r="G915" s="434"/>
      <c r="H915" s="434"/>
      <c r="I915" s="434"/>
      <c r="J915" s="434"/>
      <c r="K915" s="434"/>
      <c r="L915" s="434"/>
      <c r="M915" s="434"/>
      <c r="N915" s="434"/>
      <c r="O915" s="434"/>
      <c r="P915" s="434"/>
      <c r="Q915" s="434"/>
      <c r="R915" s="434"/>
      <c r="S915" s="434"/>
      <c r="T915" s="434"/>
      <c r="U915" s="434"/>
      <c r="V915" s="434"/>
      <c r="W915" s="434"/>
    </row>
    <row r="916">
      <c r="A916" s="434"/>
      <c r="B916" s="434"/>
      <c r="C916" s="434"/>
      <c r="D916" s="434"/>
      <c r="E916" s="434"/>
      <c r="F916" s="434"/>
      <c r="G916" s="434"/>
      <c r="H916" s="434"/>
      <c r="I916" s="434"/>
      <c r="J916" s="434"/>
      <c r="K916" s="434"/>
      <c r="L916" s="434"/>
      <c r="M916" s="434"/>
      <c r="N916" s="434"/>
      <c r="O916" s="434"/>
      <c r="P916" s="434"/>
      <c r="Q916" s="434"/>
      <c r="R916" s="434"/>
      <c r="S916" s="434"/>
      <c r="T916" s="434"/>
      <c r="U916" s="434"/>
      <c r="V916" s="434"/>
      <c r="W916" s="434"/>
    </row>
    <row r="917">
      <c r="A917" s="434"/>
      <c r="B917" s="434"/>
      <c r="C917" s="434"/>
      <c r="D917" s="434"/>
      <c r="E917" s="434"/>
      <c r="F917" s="434"/>
      <c r="G917" s="434"/>
      <c r="H917" s="434"/>
      <c r="I917" s="434"/>
      <c r="J917" s="434"/>
      <c r="K917" s="434"/>
      <c r="L917" s="434"/>
      <c r="M917" s="434"/>
      <c r="N917" s="434"/>
      <c r="O917" s="434"/>
      <c r="P917" s="434"/>
      <c r="Q917" s="434"/>
      <c r="R917" s="434"/>
      <c r="S917" s="434"/>
      <c r="T917" s="434"/>
      <c r="U917" s="434"/>
      <c r="V917" s="434"/>
      <c r="W917" s="434"/>
    </row>
    <row r="918">
      <c r="A918" s="434"/>
      <c r="B918" s="434"/>
      <c r="C918" s="434"/>
      <c r="D918" s="434"/>
      <c r="E918" s="434"/>
      <c r="F918" s="434"/>
      <c r="G918" s="434"/>
      <c r="H918" s="434"/>
      <c r="I918" s="434"/>
      <c r="J918" s="434"/>
      <c r="K918" s="434"/>
      <c r="L918" s="434"/>
      <c r="M918" s="434"/>
      <c r="N918" s="434"/>
      <c r="O918" s="434"/>
      <c r="P918" s="434"/>
      <c r="Q918" s="434"/>
      <c r="R918" s="434"/>
      <c r="S918" s="434"/>
      <c r="T918" s="434"/>
      <c r="U918" s="434"/>
      <c r="V918" s="434"/>
      <c r="W918" s="434"/>
    </row>
    <row r="919">
      <c r="A919" s="434"/>
      <c r="B919" s="434"/>
      <c r="C919" s="434"/>
      <c r="D919" s="434"/>
      <c r="E919" s="434"/>
      <c r="F919" s="434"/>
      <c r="G919" s="434"/>
      <c r="H919" s="434"/>
      <c r="I919" s="434"/>
      <c r="J919" s="434"/>
      <c r="K919" s="434"/>
      <c r="L919" s="434"/>
      <c r="M919" s="434"/>
      <c r="N919" s="434"/>
      <c r="O919" s="434"/>
      <c r="P919" s="434"/>
      <c r="Q919" s="434"/>
      <c r="R919" s="434"/>
      <c r="S919" s="434"/>
      <c r="T919" s="434"/>
      <c r="U919" s="434"/>
      <c r="V919" s="434"/>
      <c r="W919" s="434"/>
    </row>
    <row r="920">
      <c r="A920" s="434"/>
      <c r="B920" s="434"/>
      <c r="C920" s="434"/>
      <c r="D920" s="434"/>
      <c r="E920" s="434"/>
      <c r="F920" s="434"/>
      <c r="G920" s="434"/>
      <c r="H920" s="434"/>
      <c r="I920" s="434"/>
      <c r="J920" s="434"/>
      <c r="K920" s="434"/>
      <c r="L920" s="434"/>
      <c r="M920" s="434"/>
      <c r="N920" s="434"/>
      <c r="O920" s="434"/>
      <c r="P920" s="434"/>
      <c r="Q920" s="434"/>
      <c r="R920" s="434"/>
      <c r="S920" s="434"/>
      <c r="T920" s="434"/>
      <c r="U920" s="434"/>
      <c r="V920" s="434"/>
      <c r="W920" s="434"/>
    </row>
    <row r="921">
      <c r="A921" s="434"/>
      <c r="B921" s="434"/>
      <c r="C921" s="434"/>
      <c r="D921" s="434"/>
      <c r="E921" s="434"/>
      <c r="F921" s="434"/>
      <c r="G921" s="434"/>
      <c r="H921" s="434"/>
      <c r="I921" s="434"/>
      <c r="J921" s="434"/>
      <c r="K921" s="434"/>
      <c r="L921" s="434"/>
      <c r="M921" s="434"/>
      <c r="N921" s="434"/>
      <c r="O921" s="434"/>
      <c r="P921" s="434"/>
      <c r="Q921" s="434"/>
      <c r="R921" s="434"/>
      <c r="S921" s="434"/>
      <c r="T921" s="434"/>
      <c r="U921" s="434"/>
      <c r="V921" s="434"/>
      <c r="W921" s="434"/>
    </row>
    <row r="922">
      <c r="A922" s="434"/>
      <c r="B922" s="434"/>
      <c r="C922" s="434"/>
      <c r="D922" s="434"/>
      <c r="E922" s="434"/>
      <c r="F922" s="434"/>
      <c r="G922" s="434"/>
      <c r="H922" s="434"/>
      <c r="I922" s="434"/>
      <c r="J922" s="434"/>
      <c r="K922" s="434"/>
      <c r="L922" s="434"/>
      <c r="M922" s="434"/>
      <c r="N922" s="434"/>
      <c r="O922" s="434"/>
      <c r="P922" s="434"/>
      <c r="Q922" s="434"/>
      <c r="R922" s="434"/>
      <c r="S922" s="434"/>
      <c r="T922" s="434"/>
      <c r="U922" s="434"/>
      <c r="V922" s="434"/>
      <c r="W922" s="434"/>
    </row>
    <row r="923">
      <c r="A923" s="434"/>
      <c r="B923" s="434"/>
      <c r="C923" s="434"/>
      <c r="D923" s="434"/>
      <c r="E923" s="434"/>
      <c r="F923" s="434"/>
      <c r="G923" s="434"/>
      <c r="H923" s="434"/>
      <c r="I923" s="434"/>
      <c r="J923" s="434"/>
      <c r="K923" s="434"/>
      <c r="L923" s="434"/>
      <c r="M923" s="434"/>
      <c r="N923" s="434"/>
      <c r="O923" s="434"/>
      <c r="P923" s="434"/>
      <c r="Q923" s="434"/>
      <c r="R923" s="434"/>
      <c r="S923" s="434"/>
      <c r="T923" s="434"/>
      <c r="U923" s="434"/>
      <c r="V923" s="434"/>
      <c r="W923" s="434"/>
    </row>
    <row r="924">
      <c r="A924" s="434"/>
      <c r="B924" s="434"/>
      <c r="C924" s="434"/>
      <c r="D924" s="434"/>
      <c r="E924" s="434"/>
      <c r="F924" s="434"/>
      <c r="G924" s="434"/>
      <c r="H924" s="434"/>
      <c r="I924" s="434"/>
      <c r="J924" s="434"/>
      <c r="K924" s="434"/>
      <c r="L924" s="434"/>
      <c r="M924" s="434"/>
      <c r="N924" s="434"/>
      <c r="O924" s="434"/>
      <c r="P924" s="434"/>
      <c r="Q924" s="434"/>
      <c r="R924" s="434"/>
      <c r="S924" s="434"/>
      <c r="T924" s="434"/>
      <c r="U924" s="434"/>
      <c r="V924" s="434"/>
      <c r="W924" s="434"/>
    </row>
    <row r="925">
      <c r="A925" s="434"/>
      <c r="B925" s="434"/>
      <c r="C925" s="434"/>
      <c r="D925" s="434"/>
      <c r="E925" s="434"/>
      <c r="F925" s="434"/>
      <c r="G925" s="434"/>
      <c r="H925" s="434"/>
      <c r="I925" s="434"/>
      <c r="J925" s="434"/>
      <c r="K925" s="434"/>
      <c r="L925" s="434"/>
      <c r="M925" s="434"/>
      <c r="N925" s="434"/>
      <c r="O925" s="434"/>
      <c r="P925" s="434"/>
      <c r="Q925" s="434"/>
      <c r="R925" s="434"/>
      <c r="S925" s="434"/>
      <c r="T925" s="434"/>
      <c r="U925" s="434"/>
      <c r="V925" s="434"/>
      <c r="W925" s="434"/>
    </row>
    <row r="926">
      <c r="A926" s="434"/>
      <c r="B926" s="434"/>
      <c r="C926" s="434"/>
      <c r="D926" s="434"/>
      <c r="E926" s="434"/>
      <c r="F926" s="434"/>
      <c r="G926" s="434"/>
      <c r="H926" s="434"/>
      <c r="I926" s="434"/>
      <c r="J926" s="434"/>
      <c r="K926" s="434"/>
      <c r="L926" s="434"/>
      <c r="M926" s="434"/>
      <c r="N926" s="434"/>
      <c r="O926" s="434"/>
      <c r="P926" s="434"/>
      <c r="Q926" s="434"/>
      <c r="R926" s="434"/>
      <c r="S926" s="434"/>
      <c r="T926" s="434"/>
      <c r="U926" s="434"/>
      <c r="V926" s="434"/>
      <c r="W926" s="434"/>
    </row>
    <row r="927">
      <c r="A927" s="434"/>
      <c r="B927" s="434"/>
      <c r="C927" s="434"/>
      <c r="D927" s="434"/>
      <c r="E927" s="434"/>
      <c r="F927" s="434"/>
      <c r="G927" s="434"/>
      <c r="H927" s="434"/>
      <c r="I927" s="434"/>
      <c r="J927" s="434"/>
      <c r="K927" s="434"/>
      <c r="L927" s="434"/>
      <c r="M927" s="434"/>
      <c r="N927" s="434"/>
      <c r="O927" s="434"/>
      <c r="P927" s="434"/>
      <c r="Q927" s="434"/>
      <c r="R927" s="434"/>
      <c r="S927" s="434"/>
      <c r="T927" s="434"/>
      <c r="U927" s="434"/>
      <c r="V927" s="434"/>
      <c r="W927" s="434"/>
    </row>
    <row r="928">
      <c r="A928" s="434"/>
      <c r="B928" s="434"/>
      <c r="C928" s="434"/>
      <c r="D928" s="434"/>
      <c r="E928" s="434"/>
      <c r="F928" s="434"/>
      <c r="G928" s="434"/>
      <c r="H928" s="434"/>
      <c r="I928" s="434"/>
      <c r="J928" s="434"/>
      <c r="K928" s="434"/>
      <c r="L928" s="434"/>
      <c r="M928" s="434"/>
      <c r="N928" s="434"/>
      <c r="O928" s="434"/>
      <c r="P928" s="434"/>
      <c r="Q928" s="434"/>
      <c r="R928" s="434"/>
      <c r="S928" s="434"/>
      <c r="T928" s="434"/>
      <c r="U928" s="434"/>
      <c r="V928" s="434"/>
      <c r="W928" s="434"/>
    </row>
    <row r="929">
      <c r="A929" s="434"/>
      <c r="B929" s="434"/>
      <c r="C929" s="434"/>
      <c r="D929" s="434"/>
      <c r="E929" s="434"/>
      <c r="F929" s="434"/>
      <c r="G929" s="434"/>
      <c r="H929" s="434"/>
      <c r="I929" s="434"/>
      <c r="J929" s="434"/>
      <c r="K929" s="434"/>
      <c r="L929" s="434"/>
      <c r="M929" s="434"/>
      <c r="N929" s="434"/>
      <c r="O929" s="434"/>
      <c r="P929" s="434"/>
      <c r="Q929" s="434"/>
      <c r="R929" s="434"/>
      <c r="S929" s="434"/>
      <c r="T929" s="434"/>
      <c r="U929" s="434"/>
      <c r="V929" s="434"/>
      <c r="W929" s="434"/>
    </row>
    <row r="930">
      <c r="A930" s="434"/>
      <c r="B930" s="434"/>
      <c r="C930" s="434"/>
      <c r="D930" s="434"/>
      <c r="E930" s="434"/>
      <c r="F930" s="434"/>
      <c r="G930" s="434"/>
      <c r="H930" s="434"/>
      <c r="I930" s="434"/>
      <c r="J930" s="434"/>
      <c r="K930" s="434"/>
      <c r="L930" s="434"/>
      <c r="M930" s="434"/>
      <c r="N930" s="434"/>
      <c r="O930" s="434"/>
      <c r="P930" s="434"/>
      <c r="Q930" s="434"/>
      <c r="R930" s="434"/>
      <c r="S930" s="434"/>
      <c r="T930" s="434"/>
      <c r="U930" s="434"/>
      <c r="V930" s="434"/>
      <c r="W930" s="434"/>
    </row>
    <row r="931">
      <c r="A931" s="434"/>
      <c r="B931" s="434"/>
      <c r="C931" s="434"/>
      <c r="D931" s="434"/>
      <c r="E931" s="434"/>
      <c r="F931" s="434"/>
      <c r="G931" s="434"/>
      <c r="H931" s="434"/>
      <c r="I931" s="434"/>
      <c r="J931" s="434"/>
      <c r="K931" s="434"/>
      <c r="L931" s="434"/>
      <c r="M931" s="434"/>
      <c r="N931" s="434"/>
      <c r="O931" s="434"/>
      <c r="P931" s="434"/>
      <c r="Q931" s="434"/>
      <c r="R931" s="434"/>
      <c r="S931" s="434"/>
      <c r="T931" s="434"/>
      <c r="U931" s="434"/>
      <c r="V931" s="434"/>
      <c r="W931" s="434"/>
    </row>
    <row r="932">
      <c r="A932" s="434"/>
      <c r="B932" s="434"/>
      <c r="C932" s="434"/>
      <c r="D932" s="434"/>
      <c r="E932" s="434"/>
      <c r="F932" s="434"/>
      <c r="G932" s="434"/>
      <c r="H932" s="434"/>
      <c r="I932" s="434"/>
      <c r="J932" s="434"/>
      <c r="K932" s="434"/>
      <c r="L932" s="434"/>
      <c r="M932" s="434"/>
      <c r="N932" s="434"/>
      <c r="O932" s="434"/>
      <c r="P932" s="434"/>
      <c r="Q932" s="434"/>
      <c r="R932" s="434"/>
      <c r="S932" s="434"/>
      <c r="T932" s="434"/>
      <c r="U932" s="434"/>
      <c r="V932" s="434"/>
      <c r="W932" s="434"/>
    </row>
    <row r="933">
      <c r="A933" s="434"/>
      <c r="B933" s="434"/>
      <c r="C933" s="434"/>
      <c r="D933" s="434"/>
      <c r="E933" s="434"/>
      <c r="F933" s="434"/>
      <c r="G933" s="434"/>
      <c r="H933" s="434"/>
      <c r="I933" s="434"/>
      <c r="J933" s="434"/>
      <c r="K933" s="434"/>
      <c r="L933" s="434"/>
      <c r="M933" s="434"/>
      <c r="N933" s="434"/>
      <c r="O933" s="434"/>
      <c r="P933" s="434"/>
      <c r="Q933" s="434"/>
      <c r="R933" s="434"/>
      <c r="S933" s="434"/>
      <c r="T933" s="434"/>
      <c r="U933" s="434"/>
      <c r="V933" s="434"/>
      <c r="W933" s="434"/>
    </row>
    <row r="934">
      <c r="A934" s="434"/>
      <c r="B934" s="434"/>
      <c r="C934" s="434"/>
      <c r="D934" s="434"/>
      <c r="E934" s="434"/>
      <c r="F934" s="434"/>
      <c r="G934" s="434"/>
      <c r="H934" s="434"/>
      <c r="I934" s="434"/>
      <c r="J934" s="434"/>
      <c r="K934" s="434"/>
      <c r="L934" s="434"/>
      <c r="M934" s="434"/>
      <c r="N934" s="434"/>
      <c r="O934" s="434"/>
      <c r="P934" s="434"/>
      <c r="Q934" s="434"/>
      <c r="R934" s="434"/>
      <c r="S934" s="434"/>
      <c r="T934" s="434"/>
      <c r="U934" s="434"/>
      <c r="V934" s="434"/>
      <c r="W934" s="434"/>
    </row>
    <row r="935">
      <c r="A935" s="434"/>
      <c r="B935" s="434"/>
      <c r="C935" s="434"/>
      <c r="D935" s="434"/>
      <c r="E935" s="434"/>
      <c r="F935" s="434"/>
      <c r="G935" s="434"/>
      <c r="H935" s="434"/>
      <c r="I935" s="434"/>
      <c r="J935" s="434"/>
      <c r="K935" s="434"/>
      <c r="L935" s="434"/>
      <c r="M935" s="434"/>
      <c r="N935" s="434"/>
      <c r="O935" s="434"/>
      <c r="P935" s="434"/>
      <c r="Q935" s="434"/>
      <c r="R935" s="434"/>
      <c r="S935" s="434"/>
      <c r="T935" s="434"/>
      <c r="U935" s="434"/>
      <c r="V935" s="434"/>
      <c r="W935" s="434"/>
    </row>
    <row r="936">
      <c r="A936" s="434"/>
      <c r="B936" s="434"/>
      <c r="C936" s="434"/>
      <c r="D936" s="434"/>
      <c r="E936" s="434"/>
      <c r="F936" s="434"/>
      <c r="G936" s="434"/>
      <c r="H936" s="434"/>
      <c r="I936" s="434"/>
      <c r="J936" s="434"/>
      <c r="K936" s="434"/>
      <c r="L936" s="434"/>
      <c r="M936" s="434"/>
      <c r="N936" s="434"/>
      <c r="O936" s="434"/>
      <c r="P936" s="434"/>
      <c r="Q936" s="434"/>
      <c r="R936" s="434"/>
      <c r="S936" s="434"/>
      <c r="T936" s="434"/>
      <c r="U936" s="434"/>
      <c r="V936" s="434"/>
      <c r="W936" s="434"/>
    </row>
    <row r="937">
      <c r="A937" s="434"/>
      <c r="B937" s="434"/>
      <c r="C937" s="434"/>
      <c r="D937" s="434"/>
      <c r="E937" s="434"/>
      <c r="F937" s="434"/>
      <c r="G937" s="434"/>
      <c r="H937" s="434"/>
      <c r="I937" s="434"/>
      <c r="J937" s="434"/>
      <c r="K937" s="434"/>
      <c r="L937" s="434"/>
      <c r="M937" s="434"/>
      <c r="N937" s="434"/>
      <c r="O937" s="434"/>
      <c r="P937" s="434"/>
      <c r="Q937" s="434"/>
      <c r="R937" s="434"/>
      <c r="S937" s="434"/>
      <c r="T937" s="434"/>
      <c r="U937" s="434"/>
      <c r="V937" s="434"/>
      <c r="W937" s="434"/>
    </row>
    <row r="938">
      <c r="A938" s="434"/>
      <c r="B938" s="434"/>
      <c r="C938" s="434"/>
      <c r="D938" s="434"/>
      <c r="E938" s="434"/>
      <c r="F938" s="434"/>
      <c r="G938" s="434"/>
      <c r="H938" s="434"/>
      <c r="I938" s="434"/>
      <c r="J938" s="434"/>
      <c r="K938" s="434"/>
      <c r="L938" s="434"/>
      <c r="M938" s="434"/>
      <c r="N938" s="434"/>
      <c r="O938" s="434"/>
      <c r="P938" s="434"/>
      <c r="Q938" s="434"/>
      <c r="R938" s="434"/>
      <c r="S938" s="434"/>
      <c r="T938" s="434"/>
      <c r="U938" s="434"/>
      <c r="V938" s="434"/>
      <c r="W938" s="434"/>
    </row>
    <row r="939">
      <c r="A939" s="434"/>
      <c r="B939" s="434"/>
      <c r="C939" s="434"/>
      <c r="D939" s="434"/>
      <c r="E939" s="434"/>
      <c r="F939" s="434"/>
      <c r="G939" s="434"/>
      <c r="H939" s="434"/>
      <c r="I939" s="434"/>
      <c r="J939" s="434"/>
      <c r="K939" s="434"/>
      <c r="L939" s="434"/>
      <c r="M939" s="434"/>
      <c r="N939" s="434"/>
      <c r="O939" s="434"/>
      <c r="P939" s="434"/>
      <c r="Q939" s="434"/>
      <c r="R939" s="434"/>
      <c r="S939" s="434"/>
      <c r="T939" s="434"/>
      <c r="U939" s="434"/>
      <c r="V939" s="434"/>
      <c r="W939" s="434"/>
    </row>
    <row r="940">
      <c r="A940" s="434"/>
      <c r="B940" s="434"/>
      <c r="C940" s="434"/>
      <c r="D940" s="434"/>
      <c r="E940" s="434"/>
      <c r="F940" s="434"/>
      <c r="G940" s="434"/>
      <c r="H940" s="434"/>
      <c r="I940" s="434"/>
      <c r="J940" s="434"/>
      <c r="K940" s="434"/>
      <c r="L940" s="434"/>
      <c r="M940" s="434"/>
      <c r="N940" s="434"/>
      <c r="O940" s="434"/>
      <c r="P940" s="434"/>
      <c r="Q940" s="434"/>
      <c r="R940" s="434"/>
      <c r="S940" s="434"/>
      <c r="T940" s="434"/>
      <c r="U940" s="434"/>
      <c r="V940" s="434"/>
      <c r="W940" s="434"/>
    </row>
    <row r="941">
      <c r="A941" s="434"/>
      <c r="B941" s="434"/>
      <c r="C941" s="434"/>
      <c r="D941" s="434"/>
      <c r="E941" s="434"/>
      <c r="F941" s="434"/>
      <c r="G941" s="434"/>
      <c r="H941" s="434"/>
      <c r="I941" s="434"/>
      <c r="J941" s="434"/>
      <c r="K941" s="434"/>
      <c r="L941" s="434"/>
      <c r="M941" s="434"/>
      <c r="N941" s="434"/>
      <c r="O941" s="434"/>
      <c r="P941" s="434"/>
      <c r="Q941" s="434"/>
      <c r="R941" s="434"/>
      <c r="S941" s="434"/>
      <c r="T941" s="434"/>
      <c r="U941" s="434"/>
      <c r="V941" s="434"/>
      <c r="W941" s="434"/>
    </row>
    <row r="942">
      <c r="A942" s="434"/>
      <c r="B942" s="434"/>
      <c r="C942" s="434"/>
      <c r="D942" s="434"/>
      <c r="E942" s="434"/>
      <c r="F942" s="434"/>
      <c r="G942" s="434"/>
      <c r="H942" s="434"/>
      <c r="I942" s="434"/>
      <c r="J942" s="434"/>
      <c r="K942" s="434"/>
      <c r="L942" s="434"/>
      <c r="M942" s="434"/>
      <c r="N942" s="434"/>
      <c r="O942" s="434"/>
      <c r="P942" s="434"/>
      <c r="Q942" s="434"/>
      <c r="R942" s="434"/>
      <c r="S942" s="434"/>
      <c r="T942" s="434"/>
      <c r="U942" s="434"/>
      <c r="V942" s="434"/>
      <c r="W942" s="434"/>
    </row>
    <row r="943">
      <c r="A943" s="434"/>
      <c r="B943" s="434"/>
      <c r="C943" s="434"/>
      <c r="D943" s="434"/>
      <c r="E943" s="434"/>
      <c r="F943" s="434"/>
      <c r="G943" s="434"/>
      <c r="H943" s="434"/>
      <c r="I943" s="434"/>
      <c r="J943" s="434"/>
      <c r="K943" s="434"/>
      <c r="L943" s="434"/>
      <c r="M943" s="434"/>
      <c r="N943" s="434"/>
      <c r="O943" s="434"/>
      <c r="P943" s="434"/>
      <c r="Q943" s="434"/>
      <c r="R943" s="434"/>
      <c r="S943" s="434"/>
      <c r="T943" s="434"/>
      <c r="U943" s="434"/>
      <c r="V943" s="434"/>
      <c r="W943" s="434"/>
    </row>
    <row r="944">
      <c r="A944" s="434"/>
      <c r="B944" s="434"/>
      <c r="C944" s="434"/>
      <c r="D944" s="434"/>
      <c r="E944" s="434"/>
      <c r="F944" s="434"/>
      <c r="G944" s="434"/>
      <c r="H944" s="434"/>
      <c r="I944" s="434"/>
      <c r="J944" s="434"/>
      <c r="K944" s="434"/>
      <c r="L944" s="434"/>
      <c r="M944" s="434"/>
      <c r="N944" s="434"/>
      <c r="O944" s="434"/>
      <c r="P944" s="434"/>
      <c r="Q944" s="434"/>
      <c r="R944" s="434"/>
      <c r="S944" s="434"/>
      <c r="T944" s="434"/>
      <c r="U944" s="434"/>
      <c r="V944" s="434"/>
      <c r="W944" s="434"/>
    </row>
    <row r="945">
      <c r="A945" s="434"/>
      <c r="B945" s="434"/>
      <c r="C945" s="434"/>
      <c r="D945" s="434"/>
      <c r="E945" s="434"/>
      <c r="F945" s="434"/>
      <c r="G945" s="434"/>
      <c r="H945" s="434"/>
      <c r="I945" s="434"/>
      <c r="J945" s="434"/>
      <c r="K945" s="434"/>
      <c r="L945" s="434"/>
      <c r="M945" s="434"/>
      <c r="N945" s="434"/>
      <c r="O945" s="434"/>
      <c r="P945" s="434"/>
      <c r="Q945" s="434"/>
      <c r="R945" s="434"/>
      <c r="S945" s="434"/>
      <c r="T945" s="434"/>
      <c r="U945" s="434"/>
      <c r="V945" s="434"/>
      <c r="W945" s="434"/>
    </row>
    <row r="946">
      <c r="A946" s="434"/>
      <c r="B946" s="434"/>
      <c r="C946" s="434"/>
      <c r="D946" s="434"/>
      <c r="E946" s="434"/>
      <c r="F946" s="434"/>
      <c r="G946" s="434"/>
      <c r="H946" s="434"/>
      <c r="I946" s="434"/>
      <c r="J946" s="434"/>
      <c r="K946" s="434"/>
      <c r="L946" s="434"/>
      <c r="M946" s="434"/>
      <c r="N946" s="434"/>
      <c r="O946" s="434"/>
      <c r="P946" s="434"/>
      <c r="Q946" s="434"/>
      <c r="R946" s="434"/>
      <c r="S946" s="434"/>
      <c r="T946" s="434"/>
      <c r="U946" s="434"/>
      <c r="V946" s="434"/>
      <c r="W946" s="434"/>
    </row>
    <row r="947">
      <c r="A947" s="434"/>
      <c r="B947" s="434"/>
      <c r="C947" s="434"/>
      <c r="D947" s="434"/>
      <c r="E947" s="434"/>
      <c r="F947" s="434"/>
      <c r="G947" s="434"/>
      <c r="H947" s="434"/>
      <c r="I947" s="434"/>
      <c r="J947" s="434"/>
      <c r="K947" s="434"/>
      <c r="L947" s="434"/>
      <c r="M947" s="434"/>
      <c r="N947" s="434"/>
      <c r="O947" s="434"/>
      <c r="P947" s="434"/>
      <c r="Q947" s="434"/>
      <c r="R947" s="434"/>
      <c r="S947" s="434"/>
      <c r="T947" s="434"/>
      <c r="U947" s="434"/>
      <c r="V947" s="434"/>
      <c r="W947" s="434"/>
    </row>
    <row r="948">
      <c r="A948" s="434"/>
      <c r="B948" s="434"/>
      <c r="C948" s="434"/>
      <c r="D948" s="434"/>
      <c r="E948" s="434"/>
      <c r="F948" s="434"/>
      <c r="G948" s="434"/>
      <c r="H948" s="434"/>
      <c r="I948" s="434"/>
      <c r="J948" s="434"/>
      <c r="K948" s="434"/>
      <c r="L948" s="434"/>
      <c r="M948" s="434"/>
      <c r="N948" s="434"/>
      <c r="O948" s="434"/>
      <c r="P948" s="434"/>
      <c r="Q948" s="434"/>
      <c r="R948" s="434"/>
      <c r="S948" s="434"/>
      <c r="T948" s="434"/>
      <c r="U948" s="434"/>
      <c r="V948" s="434"/>
      <c r="W948" s="434"/>
    </row>
    <row r="949">
      <c r="A949" s="434"/>
      <c r="B949" s="434"/>
      <c r="C949" s="434"/>
      <c r="D949" s="434"/>
      <c r="E949" s="434"/>
      <c r="F949" s="434"/>
      <c r="G949" s="434"/>
      <c r="H949" s="434"/>
      <c r="I949" s="434"/>
      <c r="J949" s="434"/>
      <c r="K949" s="434"/>
      <c r="L949" s="434"/>
      <c r="M949" s="434"/>
      <c r="N949" s="434"/>
      <c r="O949" s="434"/>
      <c r="P949" s="434"/>
      <c r="Q949" s="434"/>
      <c r="R949" s="434"/>
      <c r="S949" s="434"/>
      <c r="T949" s="434"/>
      <c r="U949" s="434"/>
      <c r="V949" s="434"/>
      <c r="W949" s="434"/>
    </row>
    <row r="950">
      <c r="A950" s="434"/>
      <c r="B950" s="434"/>
      <c r="C950" s="434"/>
      <c r="D950" s="434"/>
      <c r="E950" s="434"/>
      <c r="F950" s="434"/>
      <c r="G950" s="434"/>
      <c r="H950" s="434"/>
      <c r="I950" s="434"/>
      <c r="J950" s="434"/>
      <c r="K950" s="434"/>
      <c r="L950" s="434"/>
      <c r="M950" s="434"/>
      <c r="N950" s="434"/>
      <c r="O950" s="434"/>
      <c r="P950" s="434"/>
      <c r="Q950" s="434"/>
      <c r="R950" s="434"/>
      <c r="S950" s="434"/>
      <c r="T950" s="434"/>
      <c r="U950" s="434"/>
      <c r="V950" s="434"/>
      <c r="W950" s="434"/>
    </row>
    <row r="951">
      <c r="A951" s="434"/>
      <c r="B951" s="434"/>
      <c r="C951" s="434"/>
      <c r="D951" s="434"/>
      <c r="E951" s="434"/>
      <c r="F951" s="434"/>
      <c r="G951" s="434"/>
      <c r="H951" s="434"/>
      <c r="I951" s="434"/>
      <c r="J951" s="434"/>
      <c r="K951" s="434"/>
      <c r="L951" s="434"/>
      <c r="M951" s="434"/>
      <c r="N951" s="434"/>
      <c r="O951" s="434"/>
      <c r="P951" s="434"/>
      <c r="Q951" s="434"/>
      <c r="R951" s="434"/>
      <c r="S951" s="434"/>
      <c r="T951" s="434"/>
      <c r="U951" s="434"/>
      <c r="V951" s="434"/>
      <c r="W951" s="434"/>
    </row>
    <row r="952">
      <c r="A952" s="434"/>
      <c r="B952" s="434"/>
      <c r="C952" s="434"/>
      <c r="D952" s="434"/>
      <c r="E952" s="434"/>
      <c r="F952" s="434"/>
      <c r="G952" s="434"/>
      <c r="H952" s="434"/>
      <c r="I952" s="434"/>
      <c r="J952" s="434"/>
      <c r="K952" s="434"/>
      <c r="L952" s="434"/>
      <c r="M952" s="434"/>
      <c r="N952" s="434"/>
      <c r="O952" s="434"/>
      <c r="P952" s="434"/>
      <c r="Q952" s="434"/>
      <c r="R952" s="434"/>
      <c r="S952" s="434"/>
      <c r="T952" s="434"/>
      <c r="U952" s="434"/>
      <c r="V952" s="434"/>
      <c r="W952" s="434"/>
    </row>
    <row r="953">
      <c r="A953" s="434"/>
      <c r="B953" s="434"/>
      <c r="C953" s="434"/>
      <c r="D953" s="434"/>
      <c r="E953" s="434"/>
      <c r="F953" s="434"/>
      <c r="G953" s="434"/>
      <c r="H953" s="434"/>
      <c r="I953" s="434"/>
      <c r="J953" s="434"/>
      <c r="K953" s="434"/>
      <c r="L953" s="434"/>
      <c r="M953" s="434"/>
      <c r="N953" s="434"/>
      <c r="O953" s="434"/>
      <c r="P953" s="434"/>
      <c r="Q953" s="434"/>
      <c r="R953" s="434"/>
      <c r="S953" s="434"/>
      <c r="T953" s="434"/>
      <c r="U953" s="434"/>
      <c r="V953" s="434"/>
      <c r="W953" s="434"/>
    </row>
    <row r="954">
      <c r="A954" s="434"/>
      <c r="B954" s="434"/>
      <c r="C954" s="434"/>
      <c r="D954" s="434"/>
      <c r="E954" s="434"/>
      <c r="F954" s="434"/>
      <c r="G954" s="434"/>
      <c r="H954" s="434"/>
      <c r="I954" s="434"/>
      <c r="J954" s="434"/>
      <c r="K954" s="434"/>
      <c r="L954" s="434"/>
      <c r="M954" s="434"/>
      <c r="N954" s="434"/>
      <c r="O954" s="434"/>
      <c r="P954" s="434"/>
      <c r="Q954" s="434"/>
      <c r="R954" s="434"/>
      <c r="S954" s="434"/>
      <c r="T954" s="434"/>
      <c r="U954" s="434"/>
      <c r="V954" s="434"/>
      <c r="W954" s="434"/>
    </row>
    <row r="955">
      <c r="A955" s="434"/>
      <c r="B955" s="434"/>
      <c r="C955" s="434"/>
      <c r="D955" s="434"/>
      <c r="E955" s="434"/>
      <c r="F955" s="434"/>
      <c r="G955" s="434"/>
      <c r="H955" s="434"/>
      <c r="I955" s="434"/>
      <c r="J955" s="434"/>
      <c r="K955" s="434"/>
      <c r="L955" s="434"/>
      <c r="M955" s="434"/>
      <c r="N955" s="434"/>
      <c r="O955" s="434"/>
      <c r="P955" s="434"/>
      <c r="Q955" s="434"/>
      <c r="R955" s="434"/>
      <c r="S955" s="434"/>
      <c r="T955" s="434"/>
      <c r="U955" s="434"/>
      <c r="V955" s="434"/>
      <c r="W955" s="434"/>
    </row>
    <row r="956">
      <c r="A956" s="434"/>
      <c r="B956" s="434"/>
      <c r="C956" s="434"/>
      <c r="D956" s="434"/>
      <c r="E956" s="434"/>
      <c r="F956" s="434"/>
      <c r="G956" s="434"/>
      <c r="H956" s="434"/>
      <c r="I956" s="434"/>
      <c r="J956" s="434"/>
      <c r="K956" s="434"/>
      <c r="L956" s="434"/>
      <c r="M956" s="434"/>
      <c r="N956" s="434"/>
      <c r="O956" s="434"/>
      <c r="P956" s="434"/>
      <c r="Q956" s="434"/>
      <c r="R956" s="434"/>
      <c r="S956" s="434"/>
      <c r="T956" s="434"/>
      <c r="U956" s="434"/>
      <c r="V956" s="434"/>
      <c r="W956" s="434"/>
    </row>
    <row r="957">
      <c r="A957" s="434"/>
      <c r="B957" s="434"/>
      <c r="C957" s="434"/>
      <c r="D957" s="434"/>
      <c r="E957" s="434"/>
      <c r="F957" s="434"/>
      <c r="G957" s="434"/>
      <c r="H957" s="434"/>
      <c r="I957" s="434"/>
      <c r="J957" s="434"/>
      <c r="K957" s="434"/>
      <c r="L957" s="434"/>
      <c r="M957" s="434"/>
      <c r="N957" s="434"/>
      <c r="O957" s="434"/>
      <c r="P957" s="434"/>
      <c r="Q957" s="434"/>
      <c r="R957" s="434"/>
      <c r="S957" s="434"/>
      <c r="T957" s="434"/>
      <c r="U957" s="434"/>
      <c r="V957" s="434"/>
      <c r="W957" s="434"/>
    </row>
    <row r="958">
      <c r="A958" s="434"/>
      <c r="B958" s="434"/>
      <c r="C958" s="434"/>
      <c r="D958" s="434"/>
      <c r="E958" s="434"/>
      <c r="F958" s="434"/>
      <c r="G958" s="434"/>
      <c r="H958" s="434"/>
      <c r="I958" s="434"/>
      <c r="J958" s="434"/>
      <c r="K958" s="434"/>
      <c r="L958" s="434"/>
      <c r="M958" s="434"/>
      <c r="N958" s="434"/>
      <c r="O958" s="434"/>
      <c r="P958" s="434"/>
      <c r="Q958" s="434"/>
      <c r="R958" s="434"/>
      <c r="S958" s="434"/>
      <c r="T958" s="434"/>
      <c r="U958" s="434"/>
      <c r="V958" s="434"/>
      <c r="W958" s="434"/>
    </row>
    <row r="959">
      <c r="A959" s="434"/>
      <c r="B959" s="434"/>
      <c r="C959" s="434"/>
      <c r="D959" s="434"/>
      <c r="E959" s="434"/>
      <c r="F959" s="434"/>
      <c r="G959" s="434"/>
      <c r="H959" s="434"/>
      <c r="I959" s="434"/>
      <c r="J959" s="434"/>
      <c r="K959" s="434"/>
      <c r="L959" s="434"/>
      <c r="M959" s="434"/>
      <c r="N959" s="434"/>
      <c r="O959" s="434"/>
      <c r="P959" s="434"/>
      <c r="Q959" s="434"/>
      <c r="R959" s="434"/>
      <c r="S959" s="434"/>
      <c r="T959" s="434"/>
      <c r="U959" s="434"/>
      <c r="V959" s="434"/>
      <c r="W959" s="434"/>
    </row>
    <row r="960">
      <c r="A960" s="434"/>
      <c r="B960" s="434"/>
      <c r="C960" s="434"/>
      <c r="D960" s="434"/>
      <c r="E960" s="434"/>
      <c r="F960" s="434"/>
      <c r="G960" s="434"/>
      <c r="H960" s="434"/>
      <c r="I960" s="434"/>
      <c r="J960" s="434"/>
      <c r="K960" s="434"/>
      <c r="L960" s="434"/>
      <c r="M960" s="434"/>
      <c r="N960" s="434"/>
      <c r="O960" s="434"/>
      <c r="P960" s="434"/>
      <c r="Q960" s="434"/>
      <c r="R960" s="434"/>
      <c r="S960" s="434"/>
      <c r="T960" s="434"/>
      <c r="U960" s="434"/>
      <c r="V960" s="434"/>
      <c r="W960" s="434"/>
    </row>
    <row r="961">
      <c r="A961" s="434"/>
      <c r="B961" s="434"/>
      <c r="C961" s="434"/>
      <c r="D961" s="434"/>
      <c r="E961" s="434"/>
      <c r="F961" s="434"/>
      <c r="G961" s="434"/>
      <c r="H961" s="434"/>
      <c r="I961" s="434"/>
      <c r="J961" s="434"/>
      <c r="K961" s="434"/>
      <c r="L961" s="434"/>
      <c r="M961" s="434"/>
      <c r="N961" s="434"/>
      <c r="O961" s="434"/>
      <c r="P961" s="434"/>
      <c r="Q961" s="434"/>
      <c r="R961" s="434"/>
      <c r="S961" s="434"/>
      <c r="T961" s="434"/>
      <c r="U961" s="434"/>
      <c r="V961" s="434"/>
      <c r="W961" s="434"/>
    </row>
    <row r="962">
      <c r="A962" s="434"/>
      <c r="B962" s="434"/>
      <c r="C962" s="434"/>
      <c r="D962" s="434"/>
      <c r="E962" s="434"/>
      <c r="F962" s="434"/>
      <c r="G962" s="434"/>
      <c r="H962" s="434"/>
      <c r="I962" s="434"/>
      <c r="J962" s="434"/>
      <c r="K962" s="434"/>
      <c r="L962" s="434"/>
      <c r="M962" s="434"/>
      <c r="N962" s="434"/>
      <c r="O962" s="434"/>
      <c r="P962" s="434"/>
      <c r="Q962" s="434"/>
      <c r="R962" s="434"/>
      <c r="S962" s="434"/>
      <c r="T962" s="434"/>
      <c r="U962" s="434"/>
      <c r="V962" s="434"/>
      <c r="W962" s="434"/>
    </row>
    <row r="963">
      <c r="A963" s="434"/>
      <c r="B963" s="434"/>
      <c r="C963" s="434"/>
      <c r="D963" s="434"/>
      <c r="E963" s="434"/>
      <c r="F963" s="434"/>
      <c r="G963" s="434"/>
      <c r="H963" s="434"/>
      <c r="I963" s="434"/>
      <c r="J963" s="434"/>
      <c r="K963" s="434"/>
      <c r="L963" s="434"/>
      <c r="M963" s="434"/>
      <c r="N963" s="434"/>
      <c r="O963" s="434"/>
      <c r="P963" s="434"/>
      <c r="Q963" s="434"/>
      <c r="R963" s="434"/>
      <c r="S963" s="434"/>
      <c r="T963" s="434"/>
      <c r="U963" s="434"/>
      <c r="V963" s="434"/>
      <c r="W963" s="434"/>
    </row>
    <row r="964">
      <c r="A964" s="434"/>
      <c r="B964" s="434"/>
      <c r="C964" s="434"/>
      <c r="D964" s="434"/>
      <c r="E964" s="434"/>
      <c r="F964" s="434"/>
      <c r="G964" s="434"/>
      <c r="H964" s="434"/>
      <c r="I964" s="434"/>
      <c r="J964" s="434"/>
      <c r="K964" s="434"/>
      <c r="L964" s="434"/>
      <c r="M964" s="434"/>
      <c r="N964" s="434"/>
      <c r="O964" s="434"/>
      <c r="P964" s="434"/>
      <c r="Q964" s="434"/>
      <c r="R964" s="434"/>
      <c r="S964" s="434"/>
      <c r="T964" s="434"/>
      <c r="U964" s="434"/>
      <c r="V964" s="434"/>
      <c r="W964" s="434"/>
    </row>
    <row r="965">
      <c r="A965" s="434"/>
      <c r="B965" s="434"/>
      <c r="C965" s="434"/>
      <c r="D965" s="434"/>
      <c r="E965" s="434"/>
      <c r="F965" s="434"/>
      <c r="G965" s="434"/>
      <c r="H965" s="434"/>
      <c r="I965" s="434"/>
      <c r="J965" s="434"/>
      <c r="K965" s="434"/>
      <c r="L965" s="434"/>
      <c r="M965" s="434"/>
      <c r="N965" s="434"/>
      <c r="O965" s="434"/>
      <c r="P965" s="434"/>
      <c r="Q965" s="434"/>
      <c r="R965" s="434"/>
      <c r="S965" s="434"/>
      <c r="T965" s="434"/>
      <c r="U965" s="434"/>
      <c r="V965" s="434"/>
      <c r="W965" s="434"/>
    </row>
    <row r="966">
      <c r="A966" s="434"/>
      <c r="B966" s="434"/>
      <c r="C966" s="434"/>
      <c r="D966" s="434"/>
      <c r="E966" s="434"/>
      <c r="F966" s="434"/>
      <c r="G966" s="434"/>
      <c r="H966" s="434"/>
      <c r="I966" s="434"/>
      <c r="J966" s="434"/>
      <c r="K966" s="434"/>
      <c r="L966" s="434"/>
      <c r="M966" s="434"/>
      <c r="N966" s="434"/>
      <c r="O966" s="434"/>
      <c r="P966" s="434"/>
      <c r="Q966" s="434"/>
      <c r="R966" s="434"/>
      <c r="S966" s="434"/>
      <c r="T966" s="434"/>
      <c r="U966" s="434"/>
      <c r="V966" s="434"/>
      <c r="W966" s="434"/>
    </row>
    <row r="967">
      <c r="A967" s="434"/>
      <c r="B967" s="434"/>
      <c r="C967" s="434"/>
      <c r="D967" s="434"/>
      <c r="E967" s="434"/>
      <c r="F967" s="434"/>
      <c r="G967" s="434"/>
      <c r="H967" s="434"/>
      <c r="I967" s="434"/>
      <c r="J967" s="434"/>
      <c r="K967" s="434"/>
      <c r="L967" s="434"/>
      <c r="M967" s="434"/>
      <c r="N967" s="434"/>
      <c r="O967" s="434"/>
      <c r="P967" s="434"/>
      <c r="Q967" s="434"/>
      <c r="R967" s="434"/>
      <c r="S967" s="434"/>
      <c r="T967" s="434"/>
      <c r="U967" s="434"/>
      <c r="V967" s="434"/>
      <c r="W967" s="434"/>
    </row>
    <row r="968">
      <c r="A968" s="434"/>
      <c r="B968" s="434"/>
      <c r="C968" s="434"/>
      <c r="D968" s="434"/>
      <c r="E968" s="434"/>
      <c r="F968" s="434"/>
      <c r="G968" s="434"/>
      <c r="H968" s="434"/>
      <c r="I968" s="434"/>
      <c r="J968" s="434"/>
      <c r="K968" s="434"/>
      <c r="L968" s="434"/>
      <c r="M968" s="434"/>
      <c r="N968" s="434"/>
      <c r="O968" s="434"/>
      <c r="P968" s="434"/>
      <c r="Q968" s="434"/>
      <c r="R968" s="434"/>
      <c r="S968" s="434"/>
      <c r="T968" s="434"/>
      <c r="U968" s="434"/>
      <c r="V968" s="434"/>
      <c r="W968" s="434"/>
    </row>
    <row r="969">
      <c r="A969" s="434"/>
      <c r="B969" s="434"/>
      <c r="C969" s="434"/>
      <c r="D969" s="434"/>
      <c r="E969" s="434"/>
      <c r="F969" s="434"/>
      <c r="G969" s="434"/>
      <c r="H969" s="434"/>
      <c r="I969" s="434"/>
      <c r="J969" s="434"/>
      <c r="K969" s="434"/>
      <c r="L969" s="434"/>
      <c r="M969" s="434"/>
      <c r="N969" s="434"/>
      <c r="O969" s="434"/>
      <c r="P969" s="434"/>
      <c r="Q969" s="434"/>
      <c r="R969" s="434"/>
      <c r="S969" s="434"/>
      <c r="T969" s="434"/>
      <c r="U969" s="434"/>
      <c r="V969" s="434"/>
      <c r="W969" s="434"/>
    </row>
    <row r="970">
      <c r="A970" s="434"/>
      <c r="B970" s="434"/>
      <c r="C970" s="434"/>
      <c r="D970" s="434"/>
      <c r="E970" s="434"/>
      <c r="F970" s="434"/>
      <c r="G970" s="434"/>
      <c r="H970" s="434"/>
      <c r="I970" s="434"/>
      <c r="J970" s="434"/>
      <c r="K970" s="434"/>
      <c r="L970" s="434"/>
      <c r="M970" s="434"/>
      <c r="N970" s="434"/>
      <c r="O970" s="434"/>
      <c r="P970" s="434"/>
      <c r="Q970" s="434"/>
      <c r="R970" s="434"/>
      <c r="S970" s="434"/>
      <c r="T970" s="434"/>
      <c r="U970" s="434"/>
      <c r="V970" s="434"/>
      <c r="W970" s="434"/>
    </row>
    <row r="971">
      <c r="A971" s="434"/>
      <c r="B971" s="434"/>
      <c r="C971" s="434"/>
      <c r="D971" s="434"/>
      <c r="E971" s="434"/>
      <c r="F971" s="434"/>
      <c r="G971" s="434"/>
      <c r="H971" s="434"/>
      <c r="I971" s="434"/>
      <c r="J971" s="434"/>
      <c r="K971" s="434"/>
      <c r="L971" s="434"/>
      <c r="M971" s="434"/>
      <c r="N971" s="434"/>
      <c r="O971" s="434"/>
      <c r="P971" s="434"/>
      <c r="Q971" s="434"/>
      <c r="R971" s="434"/>
      <c r="S971" s="434"/>
      <c r="T971" s="434"/>
      <c r="U971" s="434"/>
      <c r="V971" s="434"/>
      <c r="W971" s="434"/>
    </row>
    <row r="972">
      <c r="A972" s="434"/>
      <c r="B972" s="434"/>
      <c r="C972" s="434"/>
      <c r="D972" s="434"/>
      <c r="E972" s="434"/>
      <c r="F972" s="434"/>
      <c r="G972" s="434"/>
      <c r="H972" s="434"/>
      <c r="I972" s="434"/>
      <c r="J972" s="434"/>
      <c r="K972" s="434"/>
      <c r="L972" s="434"/>
      <c r="M972" s="434"/>
      <c r="N972" s="434"/>
      <c r="O972" s="434"/>
      <c r="P972" s="434"/>
      <c r="Q972" s="434"/>
      <c r="R972" s="434"/>
      <c r="S972" s="434"/>
      <c r="T972" s="434"/>
      <c r="U972" s="434"/>
      <c r="V972" s="434"/>
      <c r="W972" s="434"/>
    </row>
    <row r="973">
      <c r="A973" s="434"/>
      <c r="B973" s="434"/>
      <c r="C973" s="434"/>
      <c r="D973" s="434"/>
      <c r="E973" s="434"/>
      <c r="F973" s="434"/>
      <c r="G973" s="434"/>
      <c r="H973" s="434"/>
      <c r="I973" s="434"/>
      <c r="J973" s="434"/>
      <c r="K973" s="434"/>
      <c r="L973" s="434"/>
      <c r="M973" s="434"/>
      <c r="N973" s="434"/>
      <c r="O973" s="434"/>
      <c r="P973" s="434"/>
      <c r="Q973" s="434"/>
      <c r="R973" s="434"/>
      <c r="S973" s="434"/>
      <c r="T973" s="434"/>
      <c r="U973" s="434"/>
      <c r="V973" s="434"/>
      <c r="W973" s="434"/>
    </row>
    <row r="974">
      <c r="A974" s="434"/>
      <c r="B974" s="434"/>
      <c r="C974" s="434"/>
      <c r="D974" s="434"/>
      <c r="E974" s="434"/>
      <c r="F974" s="434"/>
      <c r="G974" s="434"/>
      <c r="H974" s="434"/>
      <c r="I974" s="434"/>
      <c r="J974" s="434"/>
      <c r="K974" s="434"/>
      <c r="L974" s="434"/>
      <c r="M974" s="434"/>
      <c r="N974" s="434"/>
      <c r="O974" s="434"/>
      <c r="P974" s="434"/>
      <c r="Q974" s="434"/>
      <c r="R974" s="434"/>
      <c r="S974" s="434"/>
      <c r="T974" s="434"/>
      <c r="U974" s="434"/>
      <c r="V974" s="434"/>
      <c r="W974" s="434"/>
    </row>
    <row r="975">
      <c r="A975" s="434"/>
      <c r="B975" s="434"/>
      <c r="C975" s="434"/>
      <c r="D975" s="434"/>
      <c r="E975" s="434"/>
      <c r="F975" s="434"/>
      <c r="G975" s="434"/>
      <c r="H975" s="434"/>
      <c r="I975" s="434"/>
      <c r="J975" s="434"/>
      <c r="K975" s="434"/>
      <c r="L975" s="434"/>
      <c r="M975" s="434"/>
      <c r="N975" s="434"/>
      <c r="O975" s="434"/>
      <c r="P975" s="434"/>
      <c r="Q975" s="434"/>
      <c r="R975" s="434"/>
      <c r="S975" s="434"/>
      <c r="T975" s="434"/>
      <c r="U975" s="434"/>
      <c r="V975" s="434"/>
      <c r="W975" s="434"/>
    </row>
    <row r="976">
      <c r="A976" s="434"/>
      <c r="B976" s="434"/>
      <c r="C976" s="434"/>
      <c r="D976" s="434"/>
      <c r="E976" s="434"/>
      <c r="F976" s="434"/>
      <c r="G976" s="434"/>
      <c r="H976" s="434"/>
      <c r="I976" s="434"/>
      <c r="J976" s="434"/>
      <c r="K976" s="434"/>
      <c r="L976" s="434"/>
      <c r="M976" s="434"/>
      <c r="N976" s="434"/>
      <c r="O976" s="434"/>
      <c r="P976" s="434"/>
      <c r="Q976" s="434"/>
      <c r="R976" s="434"/>
      <c r="S976" s="434"/>
      <c r="T976" s="434"/>
      <c r="U976" s="434"/>
      <c r="V976" s="434"/>
      <c r="W976" s="434"/>
    </row>
    <row r="977">
      <c r="A977" s="434"/>
      <c r="B977" s="434"/>
      <c r="C977" s="434"/>
      <c r="D977" s="434"/>
      <c r="E977" s="434"/>
      <c r="F977" s="434"/>
      <c r="G977" s="434"/>
      <c r="H977" s="434"/>
      <c r="I977" s="434"/>
      <c r="J977" s="434"/>
      <c r="K977" s="434"/>
      <c r="L977" s="434"/>
      <c r="M977" s="434"/>
      <c r="N977" s="434"/>
      <c r="O977" s="434"/>
      <c r="P977" s="434"/>
      <c r="Q977" s="434"/>
      <c r="R977" s="434"/>
      <c r="S977" s="434"/>
      <c r="T977" s="434"/>
      <c r="U977" s="434"/>
      <c r="V977" s="434"/>
      <c r="W977" s="434"/>
    </row>
    <row r="978">
      <c r="A978" s="434"/>
      <c r="B978" s="434"/>
      <c r="C978" s="434"/>
      <c r="D978" s="434"/>
      <c r="E978" s="434"/>
      <c r="F978" s="434"/>
      <c r="G978" s="434"/>
      <c r="H978" s="434"/>
      <c r="I978" s="434"/>
      <c r="J978" s="434"/>
      <c r="K978" s="434"/>
      <c r="L978" s="434"/>
      <c r="M978" s="434"/>
      <c r="N978" s="434"/>
      <c r="O978" s="434"/>
      <c r="P978" s="434"/>
      <c r="Q978" s="434"/>
      <c r="R978" s="434"/>
      <c r="S978" s="434"/>
      <c r="T978" s="434"/>
      <c r="U978" s="434"/>
      <c r="V978" s="434"/>
      <c r="W978" s="434"/>
    </row>
    <row r="979">
      <c r="A979" s="434"/>
      <c r="B979" s="434"/>
      <c r="C979" s="434"/>
      <c r="D979" s="434"/>
      <c r="E979" s="434"/>
      <c r="F979" s="434"/>
      <c r="G979" s="434"/>
      <c r="H979" s="434"/>
      <c r="I979" s="434"/>
      <c r="J979" s="434"/>
      <c r="K979" s="434"/>
      <c r="L979" s="434"/>
      <c r="M979" s="434"/>
      <c r="N979" s="434"/>
      <c r="O979" s="434"/>
      <c r="P979" s="434"/>
      <c r="Q979" s="434"/>
      <c r="R979" s="434"/>
      <c r="S979" s="434"/>
      <c r="T979" s="434"/>
      <c r="U979" s="434"/>
      <c r="V979" s="434"/>
      <c r="W979" s="434"/>
    </row>
    <row r="980">
      <c r="A980" s="434"/>
      <c r="B980" s="434"/>
      <c r="C980" s="434"/>
      <c r="D980" s="434"/>
      <c r="E980" s="434"/>
      <c r="F980" s="434"/>
      <c r="G980" s="434"/>
      <c r="H980" s="434"/>
      <c r="I980" s="434"/>
      <c r="J980" s="434"/>
      <c r="K980" s="434"/>
      <c r="L980" s="434"/>
      <c r="M980" s="434"/>
      <c r="N980" s="434"/>
      <c r="O980" s="434"/>
      <c r="P980" s="434"/>
      <c r="Q980" s="434"/>
      <c r="R980" s="434"/>
      <c r="S980" s="434"/>
      <c r="T980" s="434"/>
      <c r="U980" s="434"/>
      <c r="V980" s="434"/>
      <c r="W980" s="434"/>
    </row>
    <row r="981">
      <c r="A981" s="434"/>
      <c r="B981" s="434"/>
      <c r="C981" s="434"/>
      <c r="D981" s="434"/>
      <c r="E981" s="434"/>
      <c r="F981" s="434"/>
      <c r="G981" s="434"/>
      <c r="H981" s="434"/>
      <c r="I981" s="434"/>
      <c r="J981" s="434"/>
      <c r="K981" s="434"/>
      <c r="L981" s="434"/>
      <c r="M981" s="434"/>
      <c r="N981" s="434"/>
      <c r="O981" s="434"/>
      <c r="P981" s="434"/>
      <c r="Q981" s="434"/>
      <c r="R981" s="434"/>
      <c r="S981" s="434"/>
      <c r="T981" s="434"/>
      <c r="U981" s="434"/>
      <c r="V981" s="434"/>
      <c r="W981" s="434"/>
    </row>
    <row r="982">
      <c r="A982" s="434"/>
      <c r="B982" s="434"/>
      <c r="C982" s="434"/>
      <c r="D982" s="434"/>
      <c r="E982" s="434"/>
      <c r="F982" s="434"/>
      <c r="G982" s="434"/>
      <c r="H982" s="434"/>
      <c r="I982" s="434"/>
      <c r="J982" s="434"/>
      <c r="K982" s="434"/>
      <c r="L982" s="434"/>
      <c r="M982" s="434"/>
      <c r="N982" s="434"/>
      <c r="O982" s="434"/>
      <c r="P982" s="434"/>
      <c r="Q982" s="434"/>
      <c r="R982" s="434"/>
      <c r="S982" s="434"/>
      <c r="T982" s="434"/>
      <c r="U982" s="434"/>
      <c r="V982" s="434"/>
      <c r="W982" s="434"/>
    </row>
    <row r="983">
      <c r="A983" s="434"/>
      <c r="B983" s="434"/>
      <c r="C983" s="434"/>
      <c r="D983" s="434"/>
      <c r="E983" s="434"/>
      <c r="F983" s="434"/>
      <c r="G983" s="434"/>
      <c r="H983" s="434"/>
      <c r="I983" s="434"/>
      <c r="J983" s="434"/>
      <c r="K983" s="434"/>
      <c r="L983" s="434"/>
      <c r="M983" s="434"/>
      <c r="N983" s="434"/>
      <c r="O983" s="434"/>
      <c r="P983" s="434"/>
      <c r="Q983" s="434"/>
      <c r="R983" s="434"/>
      <c r="S983" s="434"/>
      <c r="T983" s="434"/>
      <c r="U983" s="434"/>
      <c r="V983" s="434"/>
      <c r="W983" s="434"/>
    </row>
    <row r="984">
      <c r="A984" s="434"/>
      <c r="B984" s="434"/>
      <c r="C984" s="434"/>
      <c r="D984" s="434"/>
      <c r="E984" s="434"/>
      <c r="F984" s="434"/>
      <c r="G984" s="434"/>
      <c r="H984" s="434"/>
      <c r="I984" s="434"/>
      <c r="J984" s="434"/>
      <c r="K984" s="434"/>
      <c r="L984" s="434"/>
      <c r="M984" s="434"/>
      <c r="N984" s="434"/>
      <c r="O984" s="434"/>
      <c r="P984" s="434"/>
      <c r="Q984" s="434"/>
      <c r="R984" s="434"/>
      <c r="S984" s="434"/>
      <c r="T984" s="434"/>
      <c r="U984" s="434"/>
      <c r="V984" s="434"/>
      <c r="W984" s="434"/>
    </row>
    <row r="985">
      <c r="A985" s="434"/>
      <c r="B985" s="434"/>
      <c r="C985" s="434"/>
      <c r="D985" s="434"/>
      <c r="E985" s="434"/>
      <c r="F985" s="434"/>
      <c r="G985" s="434"/>
      <c r="H985" s="434"/>
      <c r="I985" s="434"/>
      <c r="J985" s="434"/>
      <c r="K985" s="434"/>
      <c r="L985" s="434"/>
      <c r="M985" s="434"/>
      <c r="N985" s="434"/>
      <c r="O985" s="434"/>
      <c r="P985" s="434"/>
      <c r="Q985" s="434"/>
      <c r="R985" s="434"/>
      <c r="S985" s="434"/>
      <c r="T985" s="434"/>
      <c r="U985" s="434"/>
      <c r="V985" s="434"/>
      <c r="W985" s="434"/>
    </row>
    <row r="986">
      <c r="A986" s="434"/>
      <c r="B986" s="434"/>
      <c r="C986" s="434"/>
      <c r="D986" s="434"/>
      <c r="E986" s="434"/>
      <c r="F986" s="434"/>
      <c r="G986" s="434"/>
      <c r="H986" s="434"/>
      <c r="I986" s="434"/>
      <c r="J986" s="434"/>
      <c r="K986" s="434"/>
      <c r="L986" s="434"/>
      <c r="M986" s="434"/>
      <c r="N986" s="434"/>
      <c r="O986" s="434"/>
      <c r="P986" s="434"/>
      <c r="Q986" s="434"/>
      <c r="R986" s="434"/>
      <c r="S986" s="434"/>
      <c r="T986" s="434"/>
      <c r="U986" s="434"/>
      <c r="V986" s="434"/>
      <c r="W986" s="434"/>
    </row>
    <row r="987">
      <c r="A987" s="434"/>
      <c r="B987" s="434"/>
      <c r="C987" s="434"/>
      <c r="D987" s="434"/>
      <c r="E987" s="434"/>
      <c r="F987" s="434"/>
      <c r="G987" s="434"/>
      <c r="H987" s="434"/>
      <c r="I987" s="434"/>
      <c r="J987" s="434"/>
      <c r="K987" s="434"/>
      <c r="L987" s="434"/>
      <c r="M987" s="434"/>
      <c r="N987" s="434"/>
      <c r="O987" s="434"/>
      <c r="P987" s="434"/>
      <c r="Q987" s="434"/>
      <c r="R987" s="434"/>
      <c r="S987" s="434"/>
      <c r="T987" s="434"/>
      <c r="U987" s="434"/>
      <c r="V987" s="434"/>
      <c r="W987" s="434"/>
    </row>
    <row r="988">
      <c r="A988" s="434"/>
      <c r="B988" s="434"/>
      <c r="C988" s="434"/>
      <c r="D988" s="434"/>
      <c r="E988" s="434"/>
      <c r="F988" s="434"/>
      <c r="G988" s="434"/>
      <c r="H988" s="434"/>
      <c r="I988" s="434"/>
      <c r="J988" s="434"/>
      <c r="K988" s="434"/>
      <c r="L988" s="434"/>
      <c r="M988" s="434"/>
      <c r="N988" s="434"/>
      <c r="O988" s="434"/>
      <c r="P988" s="434"/>
      <c r="Q988" s="434"/>
      <c r="R988" s="434"/>
      <c r="S988" s="434"/>
      <c r="T988" s="434"/>
      <c r="U988" s="434"/>
      <c r="V988" s="434"/>
      <c r="W988" s="434"/>
    </row>
    <row r="989">
      <c r="A989" s="434"/>
      <c r="B989" s="434"/>
      <c r="C989" s="434"/>
      <c r="D989" s="434"/>
      <c r="E989" s="434"/>
      <c r="F989" s="434"/>
      <c r="G989" s="434"/>
      <c r="H989" s="434"/>
      <c r="I989" s="434"/>
      <c r="J989" s="434"/>
      <c r="K989" s="434"/>
      <c r="L989" s="434"/>
      <c r="M989" s="434"/>
      <c r="N989" s="434"/>
      <c r="O989" s="434"/>
      <c r="P989" s="434"/>
      <c r="Q989" s="434"/>
      <c r="R989" s="434"/>
      <c r="S989" s="434"/>
      <c r="T989" s="434"/>
      <c r="U989" s="434"/>
      <c r="V989" s="434"/>
      <c r="W989" s="434"/>
    </row>
    <row r="990">
      <c r="A990" s="434"/>
      <c r="B990" s="434"/>
      <c r="C990" s="434"/>
      <c r="D990" s="434"/>
      <c r="E990" s="434"/>
      <c r="F990" s="434"/>
      <c r="G990" s="434"/>
      <c r="H990" s="434"/>
      <c r="I990" s="434"/>
      <c r="J990" s="434"/>
      <c r="K990" s="434"/>
      <c r="L990" s="434"/>
      <c r="M990" s="434"/>
      <c r="N990" s="434"/>
      <c r="O990" s="434"/>
      <c r="P990" s="434"/>
      <c r="Q990" s="434"/>
      <c r="R990" s="434"/>
      <c r="S990" s="434"/>
      <c r="T990" s="434"/>
      <c r="U990" s="434"/>
      <c r="V990" s="434"/>
      <c r="W990" s="434"/>
    </row>
    <row r="991">
      <c r="A991" s="434"/>
      <c r="B991" s="434"/>
      <c r="C991" s="434"/>
      <c r="D991" s="434"/>
      <c r="E991" s="434"/>
      <c r="F991" s="434"/>
      <c r="G991" s="434"/>
      <c r="H991" s="434"/>
      <c r="I991" s="434"/>
      <c r="J991" s="434"/>
      <c r="K991" s="434"/>
      <c r="L991" s="434"/>
      <c r="M991" s="434"/>
      <c r="N991" s="434"/>
      <c r="O991" s="434"/>
      <c r="P991" s="434"/>
      <c r="Q991" s="434"/>
      <c r="R991" s="434"/>
      <c r="S991" s="434"/>
      <c r="T991" s="434"/>
      <c r="U991" s="434"/>
      <c r="V991" s="434"/>
      <c r="W991" s="434"/>
    </row>
    <row r="992">
      <c r="A992" s="434"/>
      <c r="B992" s="434"/>
      <c r="C992" s="434"/>
      <c r="D992" s="434"/>
      <c r="E992" s="434"/>
      <c r="F992" s="434"/>
      <c r="G992" s="434"/>
      <c r="H992" s="434"/>
      <c r="I992" s="434"/>
      <c r="J992" s="434"/>
      <c r="K992" s="434"/>
      <c r="L992" s="434"/>
      <c r="M992" s="434"/>
      <c r="N992" s="434"/>
      <c r="O992" s="434"/>
      <c r="P992" s="434"/>
      <c r="Q992" s="434"/>
      <c r="R992" s="434"/>
      <c r="S992" s="434"/>
      <c r="T992" s="434"/>
      <c r="U992" s="434"/>
      <c r="V992" s="434"/>
      <c r="W992" s="434"/>
    </row>
    <row r="993">
      <c r="A993" s="434"/>
      <c r="B993" s="434"/>
      <c r="C993" s="434"/>
      <c r="D993" s="434"/>
      <c r="E993" s="434"/>
      <c r="F993" s="434"/>
      <c r="G993" s="434"/>
      <c r="H993" s="434"/>
      <c r="I993" s="434"/>
      <c r="J993" s="434"/>
      <c r="K993" s="434"/>
      <c r="L993" s="434"/>
      <c r="M993" s="434"/>
      <c r="N993" s="434"/>
      <c r="O993" s="434"/>
      <c r="P993" s="434"/>
      <c r="Q993" s="434"/>
      <c r="R993" s="434"/>
      <c r="S993" s="434"/>
      <c r="T993" s="434"/>
      <c r="U993" s="434"/>
      <c r="V993" s="434"/>
      <c r="W993" s="434"/>
    </row>
    <row r="994">
      <c r="A994" s="434"/>
      <c r="B994" s="434"/>
      <c r="C994" s="434"/>
      <c r="D994" s="434"/>
      <c r="E994" s="434"/>
      <c r="F994" s="434"/>
      <c r="G994" s="434"/>
      <c r="H994" s="434"/>
      <c r="I994" s="434"/>
      <c r="J994" s="434"/>
      <c r="K994" s="434"/>
      <c r="L994" s="434"/>
      <c r="M994" s="434"/>
      <c r="N994" s="434"/>
      <c r="O994" s="434"/>
      <c r="P994" s="434"/>
      <c r="Q994" s="434"/>
      <c r="R994" s="434"/>
      <c r="S994" s="434"/>
      <c r="T994" s="434"/>
      <c r="U994" s="434"/>
      <c r="V994" s="434"/>
      <c r="W994" s="434"/>
    </row>
    <row r="995">
      <c r="A995" s="434"/>
      <c r="B995" s="434"/>
      <c r="C995" s="434"/>
      <c r="D995" s="434"/>
      <c r="E995" s="434"/>
      <c r="F995" s="434"/>
      <c r="G995" s="434"/>
      <c r="H995" s="434"/>
      <c r="I995" s="434"/>
      <c r="J995" s="434"/>
      <c r="K995" s="434"/>
      <c r="L995" s="434"/>
      <c r="M995" s="434"/>
      <c r="N995" s="434"/>
      <c r="O995" s="434"/>
      <c r="P995" s="434"/>
      <c r="Q995" s="434"/>
      <c r="R995" s="434"/>
      <c r="S995" s="434"/>
      <c r="T995" s="434"/>
      <c r="U995" s="434"/>
      <c r="V995" s="434"/>
      <c r="W995" s="434"/>
    </row>
    <row r="996">
      <c r="A996" s="434"/>
      <c r="B996" s="434"/>
      <c r="C996" s="434"/>
      <c r="D996" s="434"/>
      <c r="E996" s="434"/>
      <c r="F996" s="434"/>
      <c r="G996" s="434"/>
      <c r="H996" s="434"/>
      <c r="I996" s="434"/>
      <c r="J996" s="434"/>
      <c r="K996" s="434"/>
      <c r="L996" s="434"/>
      <c r="M996" s="434"/>
      <c r="N996" s="434"/>
      <c r="O996" s="434"/>
      <c r="P996" s="434"/>
      <c r="Q996" s="434"/>
      <c r="R996" s="434"/>
      <c r="S996" s="434"/>
      <c r="T996" s="434"/>
      <c r="U996" s="434"/>
      <c r="V996" s="434"/>
      <c r="W996" s="434"/>
    </row>
    <row r="997">
      <c r="A997" s="434"/>
      <c r="B997" s="434"/>
      <c r="C997" s="434"/>
      <c r="D997" s="434"/>
      <c r="E997" s="434"/>
      <c r="F997" s="434"/>
      <c r="G997" s="434"/>
      <c r="H997" s="434"/>
      <c r="I997" s="434"/>
      <c r="J997" s="434"/>
      <c r="K997" s="434"/>
      <c r="L997" s="434"/>
      <c r="M997" s="434"/>
      <c r="N997" s="434"/>
      <c r="O997" s="434"/>
      <c r="P997" s="434"/>
      <c r="Q997" s="434"/>
      <c r="R997" s="434"/>
      <c r="S997" s="434"/>
      <c r="T997" s="434"/>
      <c r="U997" s="434"/>
      <c r="V997" s="434"/>
      <c r="W997" s="434"/>
    </row>
    <row r="998">
      <c r="A998" s="434"/>
      <c r="B998" s="434"/>
      <c r="C998" s="434"/>
      <c r="D998" s="434"/>
      <c r="E998" s="434"/>
      <c r="F998" s="434"/>
      <c r="G998" s="434"/>
      <c r="H998" s="434"/>
      <c r="I998" s="434"/>
      <c r="J998" s="434"/>
      <c r="K998" s="434"/>
      <c r="L998" s="434"/>
      <c r="M998" s="434"/>
      <c r="N998" s="434"/>
      <c r="O998" s="434"/>
      <c r="P998" s="434"/>
      <c r="Q998" s="434"/>
      <c r="R998" s="434"/>
      <c r="S998" s="434"/>
      <c r="T998" s="434"/>
      <c r="U998" s="434"/>
      <c r="V998" s="434"/>
      <c r="W998" s="434"/>
    </row>
    <row r="999">
      <c r="A999" s="434"/>
      <c r="B999" s="434"/>
      <c r="C999" s="434"/>
      <c r="D999" s="434"/>
      <c r="E999" s="434"/>
      <c r="F999" s="434"/>
      <c r="G999" s="434"/>
      <c r="H999" s="434"/>
      <c r="I999" s="434"/>
      <c r="J999" s="434"/>
      <c r="K999" s="434"/>
      <c r="L999" s="434"/>
      <c r="M999" s="434"/>
      <c r="N999" s="434"/>
      <c r="O999" s="434"/>
      <c r="P999" s="434"/>
      <c r="Q999" s="434"/>
      <c r="R999" s="434"/>
      <c r="S999" s="434"/>
      <c r="T999" s="434"/>
      <c r="U999" s="434"/>
      <c r="V999" s="434"/>
      <c r="W999" s="434"/>
    </row>
    <row r="1000">
      <c r="A1000" s="434"/>
      <c r="B1000" s="434"/>
      <c r="C1000" s="434"/>
      <c r="D1000" s="434"/>
      <c r="E1000" s="434"/>
      <c r="F1000" s="434"/>
      <c r="G1000" s="434"/>
      <c r="H1000" s="434"/>
      <c r="I1000" s="434"/>
      <c r="J1000" s="434"/>
      <c r="K1000" s="434"/>
      <c r="L1000" s="434"/>
      <c r="M1000" s="434"/>
      <c r="N1000" s="434"/>
      <c r="O1000" s="434"/>
      <c r="P1000" s="434"/>
      <c r="Q1000" s="434"/>
      <c r="R1000" s="434"/>
      <c r="S1000" s="434"/>
      <c r="T1000" s="434"/>
      <c r="U1000" s="434"/>
      <c r="V1000" s="434"/>
      <c r="W1000" s="434"/>
    </row>
    <row r="1001">
      <c r="A1001" s="434"/>
      <c r="B1001" s="434"/>
      <c r="C1001" s="434"/>
      <c r="D1001" s="434"/>
      <c r="E1001" s="434"/>
      <c r="F1001" s="434"/>
      <c r="G1001" s="434"/>
      <c r="H1001" s="434"/>
      <c r="I1001" s="434"/>
      <c r="J1001" s="434"/>
      <c r="K1001" s="434"/>
      <c r="L1001" s="434"/>
      <c r="M1001" s="434"/>
      <c r="N1001" s="434"/>
      <c r="O1001" s="434"/>
      <c r="P1001" s="434"/>
      <c r="Q1001" s="434"/>
      <c r="R1001" s="434"/>
      <c r="S1001" s="434"/>
      <c r="T1001" s="434"/>
      <c r="U1001" s="434"/>
      <c r="V1001" s="434"/>
      <c r="W1001" s="434"/>
    </row>
    <row r="1002">
      <c r="A1002" s="434"/>
      <c r="B1002" s="434"/>
      <c r="C1002" s="434"/>
      <c r="D1002" s="434"/>
      <c r="E1002" s="434"/>
      <c r="F1002" s="434"/>
      <c r="G1002" s="434"/>
      <c r="H1002" s="434"/>
      <c r="I1002" s="434"/>
      <c r="J1002" s="434"/>
      <c r="K1002" s="434"/>
      <c r="L1002" s="434"/>
      <c r="M1002" s="434"/>
      <c r="N1002" s="434"/>
      <c r="O1002" s="434"/>
      <c r="P1002" s="434"/>
      <c r="Q1002" s="434"/>
      <c r="R1002" s="434"/>
      <c r="S1002" s="434"/>
      <c r="T1002" s="434"/>
      <c r="U1002" s="434"/>
      <c r="V1002" s="434"/>
      <c r="W1002" s="434"/>
    </row>
    <row r="1003">
      <c r="A1003" s="434"/>
      <c r="B1003" s="434"/>
      <c r="C1003" s="434"/>
      <c r="D1003" s="434"/>
      <c r="E1003" s="434"/>
      <c r="F1003" s="434"/>
      <c r="G1003" s="434"/>
      <c r="H1003" s="434"/>
      <c r="I1003" s="434"/>
      <c r="J1003" s="434"/>
      <c r="K1003" s="434"/>
      <c r="L1003" s="434"/>
      <c r="M1003" s="434"/>
      <c r="N1003" s="434"/>
      <c r="O1003" s="434"/>
      <c r="P1003" s="434"/>
      <c r="Q1003" s="434"/>
      <c r="R1003" s="434"/>
      <c r="S1003" s="434"/>
      <c r="T1003" s="434"/>
      <c r="U1003" s="434"/>
      <c r="V1003" s="434"/>
      <c r="W1003" s="434"/>
    </row>
    <row r="1004">
      <c r="A1004" s="434"/>
      <c r="B1004" s="434"/>
      <c r="C1004" s="434"/>
      <c r="D1004" s="434"/>
      <c r="E1004" s="434"/>
      <c r="F1004" s="434"/>
      <c r="G1004" s="434"/>
      <c r="H1004" s="434"/>
      <c r="I1004" s="434"/>
      <c r="J1004" s="434"/>
      <c r="K1004" s="434"/>
      <c r="L1004" s="434"/>
      <c r="M1004" s="434"/>
      <c r="N1004" s="434"/>
      <c r="O1004" s="434"/>
      <c r="P1004" s="434"/>
      <c r="Q1004" s="434"/>
      <c r="R1004" s="434"/>
      <c r="S1004" s="434"/>
      <c r="T1004" s="434"/>
      <c r="U1004" s="434"/>
      <c r="V1004" s="434"/>
      <c r="W1004" s="434"/>
    </row>
    <row r="1005">
      <c r="A1005" s="434"/>
      <c r="B1005" s="434"/>
      <c r="C1005" s="434"/>
      <c r="D1005" s="434"/>
      <c r="E1005" s="434"/>
      <c r="F1005" s="434"/>
      <c r="G1005" s="434"/>
      <c r="H1005" s="434"/>
      <c r="I1005" s="434"/>
      <c r="J1005" s="434"/>
      <c r="K1005" s="434"/>
      <c r="L1005" s="434"/>
      <c r="M1005" s="434"/>
      <c r="N1005" s="434"/>
      <c r="O1005" s="434"/>
      <c r="P1005" s="434"/>
      <c r="Q1005" s="434"/>
      <c r="R1005" s="434"/>
      <c r="S1005" s="434"/>
      <c r="T1005" s="434"/>
      <c r="U1005" s="434"/>
      <c r="V1005" s="434"/>
      <c r="W1005" s="434"/>
    </row>
    <row r="1006">
      <c r="A1006" s="434"/>
      <c r="B1006" s="434"/>
      <c r="C1006" s="434"/>
      <c r="D1006" s="434"/>
      <c r="E1006" s="434"/>
      <c r="F1006" s="434"/>
      <c r="G1006" s="434"/>
      <c r="H1006" s="434"/>
      <c r="I1006" s="434"/>
      <c r="J1006" s="434"/>
      <c r="K1006" s="434"/>
      <c r="L1006" s="434"/>
      <c r="M1006" s="434"/>
      <c r="N1006" s="434"/>
      <c r="O1006" s="434"/>
      <c r="P1006" s="434"/>
      <c r="Q1006" s="434"/>
      <c r="R1006" s="434"/>
      <c r="S1006" s="434"/>
      <c r="T1006" s="434"/>
      <c r="U1006" s="434"/>
      <c r="V1006" s="434"/>
      <c r="W1006" s="434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2.38"/>
    <col customWidth="1" min="2" max="2" width="8.25"/>
    <col customWidth="1" min="3" max="3" width="2.25"/>
    <col customWidth="1" min="4" max="4" width="19.88"/>
    <col customWidth="1" min="5" max="5" width="32.0"/>
    <col customWidth="1" min="6" max="6" width="11.63"/>
    <col customWidth="1" min="7" max="7" width="11.0"/>
    <col customWidth="1" min="8" max="8" width="15.13"/>
    <col customWidth="1" min="9" max="9" width="10.75"/>
    <col customWidth="1" min="10" max="10" width="11.75"/>
    <col customWidth="1" min="11" max="11" width="10.88"/>
    <col customWidth="1" min="12" max="12" width="13.0"/>
    <col customWidth="1" min="13" max="13" width="10.5"/>
    <col customWidth="1" min="14" max="14" width="7.63"/>
    <col customWidth="1" min="15" max="15" width="19.0"/>
    <col customWidth="1" min="16" max="24" width="7.63"/>
  </cols>
  <sheetData>
    <row r="1">
      <c r="A1" s="472" t="s">
        <v>134</v>
      </c>
      <c r="I1" s="473"/>
      <c r="J1" s="280"/>
    </row>
    <row r="2">
      <c r="A2" s="472" t="s">
        <v>597</v>
      </c>
      <c r="I2" s="473"/>
    </row>
    <row r="3">
      <c r="A3" s="474">
        <v>45139.0</v>
      </c>
      <c r="I3" s="473"/>
    </row>
    <row r="4">
      <c r="A4" s="475" t="s">
        <v>598</v>
      </c>
      <c r="B4" s="473"/>
      <c r="C4" s="473"/>
      <c r="D4" s="473"/>
      <c r="E4" s="476"/>
      <c r="F4" s="477"/>
      <c r="G4" s="477"/>
      <c r="H4" s="473"/>
      <c r="I4" s="473"/>
    </row>
    <row r="5">
      <c r="A5" s="478"/>
      <c r="B5" s="473"/>
      <c r="C5" s="473"/>
      <c r="D5" s="473"/>
      <c r="E5" s="473"/>
      <c r="F5" s="477" t="s">
        <v>599</v>
      </c>
      <c r="G5" s="477" t="s">
        <v>600</v>
      </c>
      <c r="H5" s="473"/>
      <c r="I5" s="473"/>
    </row>
    <row r="6">
      <c r="A6" s="479" t="s">
        <v>552</v>
      </c>
      <c r="B6" s="480" t="s">
        <v>601</v>
      </c>
      <c r="C6" s="478"/>
      <c r="D6" s="481" t="s">
        <v>553</v>
      </c>
      <c r="F6" s="480" t="s">
        <v>602</v>
      </c>
      <c r="G6" s="480" t="s">
        <v>603</v>
      </c>
      <c r="H6" s="480" t="s">
        <v>604</v>
      </c>
      <c r="I6" s="480"/>
    </row>
    <row r="7">
      <c r="A7" s="482"/>
      <c r="B7" s="483"/>
      <c r="C7" s="484" t="s">
        <v>605</v>
      </c>
      <c r="D7" s="485"/>
      <c r="E7" s="485"/>
      <c r="F7" s="486"/>
      <c r="G7" s="487"/>
      <c r="H7" s="488">
        <v>1656551.61</v>
      </c>
      <c r="I7" s="488"/>
      <c r="J7" s="488"/>
      <c r="K7" s="489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1"/>
    </row>
    <row r="8">
      <c r="A8" s="492">
        <v>45139.0</v>
      </c>
      <c r="B8" s="493" t="s">
        <v>606</v>
      </c>
      <c r="C8" s="484" t="s">
        <v>607</v>
      </c>
      <c r="D8" s="484"/>
      <c r="E8" s="485"/>
      <c r="F8" s="487">
        <v>5152.0</v>
      </c>
      <c r="G8" s="487"/>
      <c r="H8" s="494">
        <v>1651399.61</v>
      </c>
      <c r="I8" s="494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</row>
    <row r="9">
      <c r="A9" s="492">
        <v>45139.0</v>
      </c>
      <c r="B9" s="493" t="s">
        <v>606</v>
      </c>
      <c r="C9" s="484" t="s">
        <v>607</v>
      </c>
      <c r="D9" s="484"/>
      <c r="E9" s="484"/>
      <c r="F9" s="487">
        <v>3042.0</v>
      </c>
      <c r="G9" s="487"/>
      <c r="H9" s="494">
        <v>1648357.61</v>
      </c>
      <c r="I9" s="494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</row>
    <row r="10">
      <c r="A10" s="492">
        <v>45139.0</v>
      </c>
      <c r="B10" s="493" t="s">
        <v>606</v>
      </c>
      <c r="C10" s="484" t="s">
        <v>608</v>
      </c>
      <c r="D10" s="484"/>
      <c r="E10" s="484"/>
      <c r="F10" s="487">
        <v>990.0</v>
      </c>
      <c r="G10" s="487"/>
      <c r="H10" s="494">
        <v>1647367.61</v>
      </c>
      <c r="I10" s="494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</row>
    <row r="11">
      <c r="A11" s="492">
        <v>45139.0</v>
      </c>
      <c r="B11" s="493" t="s">
        <v>606</v>
      </c>
      <c r="C11" s="484" t="s">
        <v>609</v>
      </c>
      <c r="D11" s="484"/>
      <c r="E11" s="484"/>
      <c r="F11" s="487">
        <v>1000.0</v>
      </c>
      <c r="G11" s="487"/>
      <c r="H11" s="494">
        <v>1646367.61</v>
      </c>
      <c r="I11" s="494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</row>
    <row r="12">
      <c r="A12" s="492">
        <v>45139.0</v>
      </c>
      <c r="B12" s="493" t="s">
        <v>606</v>
      </c>
      <c r="C12" s="484" t="s">
        <v>610</v>
      </c>
      <c r="D12" s="485"/>
      <c r="E12" s="485"/>
      <c r="F12" s="487">
        <v>2000.0</v>
      </c>
      <c r="G12" s="487"/>
      <c r="H12" s="494">
        <v>1644367.61</v>
      </c>
      <c r="I12" s="494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</row>
    <row r="13">
      <c r="A13" s="492">
        <v>45139.0</v>
      </c>
      <c r="B13" s="484" t="s">
        <v>606</v>
      </c>
      <c r="C13" s="484" t="s">
        <v>611</v>
      </c>
      <c r="D13" s="484"/>
      <c r="E13" s="484"/>
      <c r="F13" s="495">
        <v>1500.0</v>
      </c>
      <c r="G13" s="487"/>
      <c r="H13" s="494">
        <v>1642867.61</v>
      </c>
      <c r="I13" s="494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</row>
    <row r="14">
      <c r="A14" s="492">
        <v>45139.0</v>
      </c>
      <c r="B14" s="484" t="s">
        <v>606</v>
      </c>
      <c r="C14" s="484" t="s">
        <v>612</v>
      </c>
      <c r="D14" s="484"/>
      <c r="E14" s="484"/>
      <c r="F14" s="495">
        <v>1596.0</v>
      </c>
      <c r="G14" s="487"/>
      <c r="H14" s="494">
        <v>1641271.61</v>
      </c>
      <c r="I14" s="494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</row>
    <row r="15">
      <c r="A15" s="492">
        <v>45139.0</v>
      </c>
      <c r="B15" s="493" t="s">
        <v>606</v>
      </c>
      <c r="C15" s="484" t="s">
        <v>613</v>
      </c>
      <c r="D15" s="485"/>
      <c r="E15" s="485"/>
      <c r="F15" s="495">
        <v>23740.0</v>
      </c>
      <c r="G15" s="487"/>
      <c r="H15" s="494">
        <v>1617531.61</v>
      </c>
      <c r="I15" s="494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</row>
    <row r="16">
      <c r="A16" s="492">
        <v>45139.0</v>
      </c>
      <c r="B16" s="493" t="s">
        <v>606</v>
      </c>
      <c r="C16" s="484" t="s">
        <v>614</v>
      </c>
      <c r="D16" s="484"/>
      <c r="E16" s="485"/>
      <c r="F16" s="487">
        <v>6030.0</v>
      </c>
      <c r="G16" s="487"/>
      <c r="H16" s="494">
        <v>1611501.61</v>
      </c>
      <c r="I16" s="494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</row>
    <row r="17">
      <c r="A17" s="492">
        <v>45139.0</v>
      </c>
      <c r="B17" s="493" t="s">
        <v>606</v>
      </c>
      <c r="C17" s="484" t="s">
        <v>615</v>
      </c>
      <c r="D17" s="484"/>
      <c r="E17" s="484"/>
      <c r="F17" s="487">
        <v>2175.0</v>
      </c>
      <c r="G17" s="487"/>
      <c r="H17" s="494">
        <v>1609326.61</v>
      </c>
      <c r="I17" s="494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</row>
    <row r="18">
      <c r="A18" s="492">
        <v>45139.0</v>
      </c>
      <c r="B18" s="493" t="s">
        <v>606</v>
      </c>
      <c r="C18" s="484" t="s">
        <v>616</v>
      </c>
      <c r="D18" s="484"/>
      <c r="E18" s="484"/>
      <c r="F18" s="487">
        <v>6690.0</v>
      </c>
      <c r="G18" s="487"/>
      <c r="H18" s="494">
        <v>1602636.61</v>
      </c>
      <c r="I18" s="494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</row>
    <row r="19">
      <c r="A19" s="492">
        <v>45139.0</v>
      </c>
      <c r="B19" s="493" t="s">
        <v>617</v>
      </c>
      <c r="C19" s="484" t="s">
        <v>618</v>
      </c>
      <c r="D19" s="484"/>
      <c r="E19" s="484"/>
      <c r="F19" s="487">
        <v>350.0</v>
      </c>
      <c r="G19" s="487"/>
      <c r="H19" s="494">
        <v>1602286.61</v>
      </c>
      <c r="I19" s="494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</row>
    <row r="20">
      <c r="A20" s="492">
        <v>45139.0</v>
      </c>
      <c r="B20" s="493" t="s">
        <v>617</v>
      </c>
      <c r="C20" s="484" t="s">
        <v>618</v>
      </c>
      <c r="D20" s="484"/>
      <c r="E20" s="485"/>
      <c r="F20" s="487">
        <v>350.0</v>
      </c>
      <c r="G20" s="487"/>
      <c r="H20" s="494">
        <v>1601936.61</v>
      </c>
      <c r="I20" s="494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</row>
    <row r="21">
      <c r="A21" s="492">
        <v>45139.0</v>
      </c>
      <c r="B21" s="493" t="s">
        <v>617</v>
      </c>
      <c r="C21" s="484" t="s">
        <v>619</v>
      </c>
      <c r="D21" s="484"/>
      <c r="E21" s="485"/>
      <c r="F21" s="487">
        <v>215.85</v>
      </c>
      <c r="G21" s="487"/>
      <c r="H21" s="494">
        <v>1601720.76</v>
      </c>
      <c r="I21" s="494"/>
      <c r="J21" s="491"/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</row>
    <row r="22">
      <c r="A22" s="492">
        <v>45139.0</v>
      </c>
      <c r="B22" s="493" t="s">
        <v>617</v>
      </c>
      <c r="C22" s="484" t="s">
        <v>620</v>
      </c>
      <c r="D22" s="485"/>
      <c r="E22" s="485"/>
      <c r="F22" s="487">
        <v>23.55</v>
      </c>
      <c r="G22" s="487"/>
      <c r="H22" s="494">
        <v>1601697.21</v>
      </c>
      <c r="I22" s="494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</row>
    <row r="23">
      <c r="A23" s="492">
        <v>45139.0</v>
      </c>
      <c r="B23" s="493" t="s">
        <v>621</v>
      </c>
      <c r="C23" s="484" t="s">
        <v>622</v>
      </c>
      <c r="D23" s="484"/>
      <c r="E23" s="484"/>
      <c r="F23" s="487">
        <v>368.54</v>
      </c>
      <c r="G23" s="487"/>
      <c r="H23" s="494">
        <v>1601328.67</v>
      </c>
      <c r="I23" s="494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</row>
    <row r="24">
      <c r="A24" s="492">
        <v>45139.0</v>
      </c>
      <c r="B24" s="493" t="s">
        <v>621</v>
      </c>
      <c r="C24" s="484" t="s">
        <v>623</v>
      </c>
      <c r="D24" s="484"/>
      <c r="E24" s="485"/>
      <c r="F24" s="487">
        <v>191.0</v>
      </c>
      <c r="G24" s="487"/>
      <c r="H24" s="494">
        <v>1601137.67</v>
      </c>
      <c r="I24" s="494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</row>
    <row r="25">
      <c r="A25" s="492">
        <v>45139.0</v>
      </c>
      <c r="B25" s="493" t="s">
        <v>621</v>
      </c>
      <c r="C25" s="484" t="s">
        <v>624</v>
      </c>
      <c r="D25" s="484"/>
      <c r="E25" s="484"/>
      <c r="F25" s="487">
        <v>32.33</v>
      </c>
      <c r="G25" s="487"/>
      <c r="H25" s="494">
        <v>1601105.34</v>
      </c>
      <c r="I25" s="494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</row>
    <row r="26">
      <c r="A26" s="492">
        <v>45139.0</v>
      </c>
      <c r="B26" s="493" t="s">
        <v>621</v>
      </c>
      <c r="C26" s="484" t="s">
        <v>625</v>
      </c>
      <c r="D26" s="484"/>
      <c r="E26" s="484"/>
      <c r="F26" s="487">
        <v>79.01</v>
      </c>
      <c r="G26" s="487"/>
      <c r="H26" s="494">
        <v>1601026.33</v>
      </c>
      <c r="I26" s="494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</row>
    <row r="27">
      <c r="A27" s="492">
        <v>45139.0</v>
      </c>
      <c r="B27" s="493" t="s">
        <v>621</v>
      </c>
      <c r="C27" s="484" t="s">
        <v>626</v>
      </c>
      <c r="D27" s="484"/>
      <c r="E27" s="484"/>
      <c r="F27" s="487">
        <v>131.68</v>
      </c>
      <c r="G27" s="487"/>
      <c r="H27" s="494">
        <v>1600894.65</v>
      </c>
      <c r="I27" s="494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</row>
    <row r="28">
      <c r="A28" s="492">
        <v>45139.0</v>
      </c>
      <c r="B28" s="493" t="s">
        <v>621</v>
      </c>
      <c r="C28" s="484" t="s">
        <v>625</v>
      </c>
      <c r="D28" s="484"/>
      <c r="E28" s="484"/>
      <c r="F28" s="487">
        <v>201.46</v>
      </c>
      <c r="G28" s="487"/>
      <c r="H28" s="494">
        <v>1600693.19</v>
      </c>
      <c r="I28" s="494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</row>
    <row r="29">
      <c r="A29" s="492">
        <v>45139.0</v>
      </c>
      <c r="B29" s="493" t="s">
        <v>621</v>
      </c>
      <c r="C29" s="484" t="s">
        <v>627</v>
      </c>
      <c r="D29" s="485"/>
      <c r="E29" s="485"/>
      <c r="F29" s="495">
        <v>105.04</v>
      </c>
      <c r="G29" s="487"/>
      <c r="H29" s="494">
        <v>1600588.15</v>
      </c>
      <c r="I29" s="494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</row>
    <row r="30">
      <c r="A30" s="492">
        <v>45139.0</v>
      </c>
      <c r="B30" s="493" t="s">
        <v>621</v>
      </c>
      <c r="C30" s="484" t="s">
        <v>628</v>
      </c>
      <c r="D30" s="484"/>
      <c r="E30" s="484"/>
      <c r="F30" s="487">
        <v>99.0</v>
      </c>
      <c r="G30" s="487"/>
      <c r="H30" s="494">
        <v>1600489.15</v>
      </c>
      <c r="I30" s="494"/>
      <c r="J30" s="491"/>
      <c r="K30" s="491"/>
      <c r="L30" s="491"/>
      <c r="M30" s="491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1"/>
    </row>
    <row r="31">
      <c r="A31" s="492">
        <v>45139.0</v>
      </c>
      <c r="B31" s="493" t="s">
        <v>621</v>
      </c>
      <c r="C31" s="484" t="s">
        <v>629</v>
      </c>
      <c r="D31" s="484"/>
      <c r="E31" s="484"/>
      <c r="F31" s="487">
        <v>98.0</v>
      </c>
      <c r="G31" s="487"/>
      <c r="H31" s="494">
        <v>1600391.15</v>
      </c>
      <c r="I31" s="494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</row>
    <row r="32">
      <c r="A32" s="492">
        <v>45139.0</v>
      </c>
      <c r="B32" s="493" t="s">
        <v>621</v>
      </c>
      <c r="C32" s="484" t="s">
        <v>629</v>
      </c>
      <c r="D32" s="484"/>
      <c r="E32" s="484"/>
      <c r="F32" s="487">
        <v>135.0</v>
      </c>
      <c r="G32" s="487"/>
      <c r="H32" s="494">
        <v>1600256.15</v>
      </c>
      <c r="I32" s="494"/>
      <c r="J32" s="491"/>
      <c r="K32" s="491"/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</row>
    <row r="33">
      <c r="A33" s="492">
        <v>45139.0</v>
      </c>
      <c r="B33" s="493" t="s">
        <v>621</v>
      </c>
      <c r="C33" s="484" t="s">
        <v>630</v>
      </c>
      <c r="D33" s="484"/>
      <c r="E33" s="484"/>
      <c r="F33" s="487">
        <v>203.75</v>
      </c>
      <c r="G33" s="487"/>
      <c r="H33" s="494">
        <v>1600052.4</v>
      </c>
      <c r="I33" s="494"/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</row>
    <row r="34">
      <c r="A34" s="492">
        <v>45139.0</v>
      </c>
      <c r="B34" s="493" t="s">
        <v>621</v>
      </c>
      <c r="C34" s="484" t="s">
        <v>631</v>
      </c>
      <c r="D34" s="484"/>
      <c r="E34" s="484"/>
      <c r="F34" s="487">
        <v>38.16</v>
      </c>
      <c r="G34" s="487"/>
      <c r="H34" s="494">
        <v>1600014.24</v>
      </c>
      <c r="I34" s="494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</row>
    <row r="35">
      <c r="A35" s="492">
        <v>45139.0</v>
      </c>
      <c r="B35" s="493" t="s">
        <v>621</v>
      </c>
      <c r="C35" s="484" t="s">
        <v>632</v>
      </c>
      <c r="D35" s="485"/>
      <c r="E35" s="485"/>
      <c r="F35" s="495">
        <v>20.37</v>
      </c>
      <c r="G35" s="487"/>
      <c r="H35" s="494">
        <v>1599993.87</v>
      </c>
      <c r="I35" s="494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</row>
    <row r="36">
      <c r="A36" s="492">
        <v>45139.0</v>
      </c>
      <c r="B36" s="493" t="s">
        <v>621</v>
      </c>
      <c r="C36" s="484" t="s">
        <v>633</v>
      </c>
      <c r="D36" s="485"/>
      <c r="E36" s="485"/>
      <c r="F36" s="495">
        <v>32.06</v>
      </c>
      <c r="G36" s="487"/>
      <c r="H36" s="494">
        <v>1599961.81</v>
      </c>
      <c r="I36" s="494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</row>
    <row r="37">
      <c r="A37" s="492">
        <v>45139.0</v>
      </c>
      <c r="B37" s="493" t="s">
        <v>621</v>
      </c>
      <c r="C37" s="484" t="s">
        <v>634</v>
      </c>
      <c r="D37" s="484"/>
      <c r="E37" s="485"/>
      <c r="F37" s="495">
        <v>40.08</v>
      </c>
      <c r="G37" s="487"/>
      <c r="H37" s="494">
        <v>1599921.73</v>
      </c>
      <c r="I37" s="494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</row>
    <row r="38">
      <c r="A38" s="492">
        <v>45139.0</v>
      </c>
      <c r="B38" s="493" t="s">
        <v>621</v>
      </c>
      <c r="C38" s="484" t="s">
        <v>635</v>
      </c>
      <c r="D38" s="484"/>
      <c r="E38" s="485"/>
      <c r="F38" s="487">
        <v>621.0</v>
      </c>
      <c r="G38" s="487"/>
      <c r="H38" s="494">
        <v>1599300.73</v>
      </c>
      <c r="I38" s="494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</row>
    <row r="39">
      <c r="A39" s="492">
        <v>45139.0</v>
      </c>
      <c r="B39" s="493" t="s">
        <v>636</v>
      </c>
      <c r="C39" s="484" t="s">
        <v>637</v>
      </c>
      <c r="D39" s="484"/>
      <c r="E39" s="484"/>
      <c r="F39" s="487">
        <v>2611.98</v>
      </c>
      <c r="G39" s="487"/>
      <c r="H39" s="494">
        <v>1596688.75</v>
      </c>
      <c r="I39" s="494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</row>
    <row r="40">
      <c r="A40" s="492">
        <v>45139.0</v>
      </c>
      <c r="B40" s="493" t="s">
        <v>636</v>
      </c>
      <c r="C40" s="484" t="s">
        <v>638</v>
      </c>
      <c r="D40" s="484"/>
      <c r="E40" s="484"/>
      <c r="F40" s="487">
        <v>84.8</v>
      </c>
      <c r="G40" s="487"/>
      <c r="H40" s="494">
        <v>1596603.95</v>
      </c>
      <c r="I40" s="494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</row>
    <row r="41">
      <c r="A41" s="492">
        <v>45139.0</v>
      </c>
      <c r="B41" s="493" t="s">
        <v>636</v>
      </c>
      <c r="C41" s="484" t="s">
        <v>639</v>
      </c>
      <c r="D41" s="484"/>
      <c r="E41" s="484"/>
      <c r="F41" s="487">
        <v>40.83</v>
      </c>
      <c r="G41" s="487"/>
      <c r="H41" s="494">
        <v>1596563.12</v>
      </c>
      <c r="I41" s="494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</row>
    <row r="42">
      <c r="A42" s="492">
        <v>45139.0</v>
      </c>
      <c r="B42" s="493" t="s">
        <v>636</v>
      </c>
      <c r="C42" s="484" t="s">
        <v>640</v>
      </c>
      <c r="D42" s="484"/>
      <c r="E42" s="484"/>
      <c r="F42" s="487">
        <v>3.15</v>
      </c>
      <c r="G42" s="487"/>
      <c r="H42" s="494">
        <v>1596559.97</v>
      </c>
      <c r="I42" s="494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</row>
    <row r="43">
      <c r="A43" s="492">
        <v>45139.0</v>
      </c>
      <c r="B43" s="493" t="s">
        <v>636</v>
      </c>
      <c r="C43" s="484" t="s">
        <v>641</v>
      </c>
      <c r="D43" s="484"/>
      <c r="E43" s="484"/>
      <c r="F43" s="487">
        <v>676.5</v>
      </c>
      <c r="G43" s="487"/>
      <c r="H43" s="494">
        <v>1595883.47</v>
      </c>
      <c r="I43" s="494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</row>
    <row r="44">
      <c r="A44" s="492">
        <v>45140.0</v>
      </c>
      <c r="B44" s="493" t="s">
        <v>642</v>
      </c>
      <c r="C44" s="484" t="s">
        <v>643</v>
      </c>
      <c r="D44" s="484"/>
      <c r="E44" s="484"/>
      <c r="F44" s="487">
        <v>860.0</v>
      </c>
      <c r="G44" s="487"/>
      <c r="H44" s="494">
        <v>1595023.47</v>
      </c>
      <c r="I44" s="494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</row>
    <row r="45">
      <c r="A45" s="492">
        <v>45140.0</v>
      </c>
      <c r="B45" s="493" t="s">
        <v>642</v>
      </c>
      <c r="C45" s="484" t="s">
        <v>644</v>
      </c>
      <c r="D45" s="484"/>
      <c r="E45" s="484"/>
      <c r="F45" s="487">
        <v>1475.0</v>
      </c>
      <c r="G45" s="487"/>
      <c r="H45" s="494">
        <v>1593548.47</v>
      </c>
      <c r="I45" s="494"/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</row>
    <row r="46">
      <c r="A46" s="492">
        <v>45140.0</v>
      </c>
      <c r="B46" s="493" t="s">
        <v>642</v>
      </c>
      <c r="C46" s="484" t="s">
        <v>645</v>
      </c>
      <c r="D46" s="484"/>
      <c r="E46" s="484"/>
      <c r="F46" s="487">
        <v>1475.0</v>
      </c>
      <c r="G46" s="487"/>
      <c r="H46" s="494">
        <v>1592073.47</v>
      </c>
      <c r="I46" s="494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</row>
    <row r="47">
      <c r="A47" s="492">
        <v>45140.0</v>
      </c>
      <c r="B47" s="493" t="s">
        <v>646</v>
      </c>
      <c r="C47" s="484" t="s">
        <v>647</v>
      </c>
      <c r="D47" s="485"/>
      <c r="E47" s="485"/>
      <c r="F47" s="487">
        <v>19.99</v>
      </c>
      <c r="G47" s="487"/>
      <c r="H47" s="494">
        <v>1592053.48</v>
      </c>
      <c r="I47" s="494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</row>
    <row r="48">
      <c r="A48" s="492">
        <v>45140.0</v>
      </c>
      <c r="B48" s="493" t="s">
        <v>646</v>
      </c>
      <c r="C48" s="484" t="s">
        <v>648</v>
      </c>
      <c r="D48" s="484"/>
      <c r="E48" s="484"/>
      <c r="F48" s="487">
        <v>6900.0</v>
      </c>
      <c r="G48" s="487"/>
      <c r="H48" s="494">
        <v>1585153.48</v>
      </c>
      <c r="I48" s="494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</row>
    <row r="49">
      <c r="A49" s="492">
        <v>45140.0</v>
      </c>
      <c r="B49" s="493" t="s">
        <v>646</v>
      </c>
      <c r="C49" s="484" t="s">
        <v>649</v>
      </c>
      <c r="D49" s="485"/>
      <c r="E49" s="485"/>
      <c r="F49" s="487">
        <v>189.0</v>
      </c>
      <c r="G49" s="487"/>
      <c r="H49" s="494">
        <v>1584964.48</v>
      </c>
      <c r="I49" s="494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</row>
    <row r="50">
      <c r="A50" s="492">
        <v>45140.0</v>
      </c>
      <c r="B50" s="493" t="s">
        <v>646</v>
      </c>
      <c r="C50" s="484" t="s">
        <v>650</v>
      </c>
      <c r="D50" s="484"/>
      <c r="E50" s="484"/>
      <c r="F50" s="487"/>
      <c r="G50" s="487">
        <v>1373.5</v>
      </c>
      <c r="H50" s="494">
        <v>1586337.98</v>
      </c>
      <c r="I50" s="494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</row>
    <row r="51">
      <c r="A51" s="492">
        <v>45141.0</v>
      </c>
      <c r="B51" s="493" t="s">
        <v>651</v>
      </c>
      <c r="C51" s="484" t="s">
        <v>652</v>
      </c>
      <c r="D51" s="484"/>
      <c r="E51" s="484"/>
      <c r="F51" s="487">
        <v>1467.8</v>
      </c>
      <c r="G51" s="487"/>
      <c r="H51" s="494">
        <v>1584870.18</v>
      </c>
      <c r="I51" s="494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</row>
    <row r="52">
      <c r="A52" s="492">
        <v>45141.0</v>
      </c>
      <c r="B52" s="493" t="s">
        <v>651</v>
      </c>
      <c r="C52" s="484" t="s">
        <v>653</v>
      </c>
      <c r="D52" s="484"/>
      <c r="E52" s="484"/>
      <c r="F52" s="487">
        <v>2400.0</v>
      </c>
      <c r="G52" s="487"/>
      <c r="H52" s="494">
        <v>1582470.18</v>
      </c>
      <c r="I52" s="494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</row>
    <row r="53">
      <c r="A53" s="492">
        <v>45141.0</v>
      </c>
      <c r="B53" s="493" t="s">
        <v>651</v>
      </c>
      <c r="C53" s="484" t="s">
        <v>654</v>
      </c>
      <c r="D53" s="484"/>
      <c r="E53" s="484"/>
      <c r="F53" s="487">
        <v>2671.2</v>
      </c>
      <c r="G53" s="487"/>
      <c r="H53" s="494">
        <v>1579798.98</v>
      </c>
      <c r="I53" s="494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</row>
    <row r="54">
      <c r="A54" s="492">
        <v>45141.0</v>
      </c>
      <c r="B54" s="493" t="s">
        <v>651</v>
      </c>
      <c r="C54" s="484" t="s">
        <v>655</v>
      </c>
      <c r="D54" s="484"/>
      <c r="E54" s="485"/>
      <c r="F54" s="487">
        <v>250.0</v>
      </c>
      <c r="G54" s="487"/>
      <c r="H54" s="494">
        <v>1579548.98</v>
      </c>
      <c r="I54" s="494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</row>
    <row r="55">
      <c r="A55" s="492">
        <v>45141.0</v>
      </c>
      <c r="B55" s="493" t="s">
        <v>651</v>
      </c>
      <c r="C55" s="484" t="s">
        <v>656</v>
      </c>
      <c r="D55" s="484"/>
      <c r="E55" s="484"/>
      <c r="F55" s="487">
        <v>250.0</v>
      </c>
      <c r="G55" s="487"/>
      <c r="H55" s="494">
        <v>1579298.98</v>
      </c>
      <c r="I55" s="494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</row>
    <row r="56">
      <c r="A56" s="492">
        <v>45141.0</v>
      </c>
      <c r="B56" s="493" t="s">
        <v>651</v>
      </c>
      <c r="C56" s="484" t="s">
        <v>657</v>
      </c>
      <c r="D56" s="484"/>
      <c r="E56" s="484"/>
      <c r="F56" s="487">
        <v>620.88</v>
      </c>
      <c r="G56" s="487"/>
      <c r="H56" s="494">
        <v>1578678.1</v>
      </c>
      <c r="I56" s="494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</row>
    <row r="57">
      <c r="A57" s="492">
        <v>45141.0</v>
      </c>
      <c r="B57" s="493" t="s">
        <v>658</v>
      </c>
      <c r="C57" s="484" t="s">
        <v>659</v>
      </c>
      <c r="D57" s="484"/>
      <c r="E57" s="484"/>
      <c r="F57" s="487">
        <v>40.32</v>
      </c>
      <c r="G57" s="487"/>
      <c r="H57" s="494">
        <v>1578637.78</v>
      </c>
      <c r="I57" s="494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</row>
    <row r="58">
      <c r="A58" s="492">
        <v>45141.0</v>
      </c>
      <c r="B58" s="493" t="s">
        <v>658</v>
      </c>
      <c r="C58" s="484" t="s">
        <v>660</v>
      </c>
      <c r="D58" s="484"/>
      <c r="E58" s="484"/>
      <c r="F58" s="487">
        <v>50.0</v>
      </c>
      <c r="G58" s="487"/>
      <c r="H58" s="494">
        <v>1578587.78</v>
      </c>
      <c r="I58" s="494"/>
      <c r="J58" s="491"/>
      <c r="K58" s="491"/>
      <c r="L58" s="491"/>
      <c r="M58" s="491"/>
      <c r="N58" s="491"/>
      <c r="O58" s="491"/>
      <c r="P58" s="491"/>
      <c r="Q58" s="491"/>
      <c r="R58" s="491"/>
      <c r="S58" s="491"/>
      <c r="T58" s="491"/>
      <c r="U58" s="491"/>
      <c r="V58" s="491"/>
      <c r="W58" s="491"/>
      <c r="X58" s="491"/>
    </row>
    <row r="59">
      <c r="A59" s="492">
        <v>45141.0</v>
      </c>
      <c r="B59" s="493" t="s">
        <v>658</v>
      </c>
      <c r="C59" s="484" t="s">
        <v>661</v>
      </c>
      <c r="D59" s="484"/>
      <c r="E59" s="484"/>
      <c r="F59" s="487">
        <v>153.18</v>
      </c>
      <c r="G59" s="487"/>
      <c r="H59" s="494">
        <v>1578434.6</v>
      </c>
      <c r="I59" s="494"/>
      <c r="J59" s="491"/>
      <c r="K59" s="491"/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</row>
    <row r="60">
      <c r="A60" s="492">
        <v>45141.0</v>
      </c>
      <c r="B60" s="493" t="s">
        <v>658</v>
      </c>
      <c r="C60" s="484" t="s">
        <v>662</v>
      </c>
      <c r="D60" s="484"/>
      <c r="E60" s="484"/>
      <c r="F60" s="487">
        <v>4005.0</v>
      </c>
      <c r="G60" s="487"/>
      <c r="H60" s="494">
        <v>1574429.6</v>
      </c>
      <c r="I60" s="494"/>
      <c r="J60" s="491"/>
      <c r="K60" s="491"/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</row>
    <row r="61">
      <c r="A61" s="492">
        <v>45141.0</v>
      </c>
      <c r="B61" s="493" t="s">
        <v>658</v>
      </c>
      <c r="C61" s="484" t="s">
        <v>663</v>
      </c>
      <c r="D61" s="485"/>
      <c r="E61" s="485"/>
      <c r="F61" s="487">
        <v>800.0</v>
      </c>
      <c r="G61" s="487"/>
      <c r="H61" s="494">
        <v>1573629.6</v>
      </c>
      <c r="I61" s="494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</row>
    <row r="62">
      <c r="A62" s="492">
        <v>45141.0</v>
      </c>
      <c r="B62" s="493" t="s">
        <v>658</v>
      </c>
      <c r="C62" s="484" t="s">
        <v>664</v>
      </c>
      <c r="D62" s="485"/>
      <c r="E62" s="485"/>
      <c r="F62" s="487">
        <v>244.0</v>
      </c>
      <c r="G62" s="487"/>
      <c r="H62" s="494">
        <v>1573385.6</v>
      </c>
      <c r="I62" s="494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</row>
    <row r="63">
      <c r="A63" s="492">
        <v>45141.0</v>
      </c>
      <c r="B63" s="493" t="s">
        <v>658</v>
      </c>
      <c r="C63" s="484" t="s">
        <v>665</v>
      </c>
      <c r="D63" s="485"/>
      <c r="E63" s="485"/>
      <c r="F63" s="487">
        <v>2400.0</v>
      </c>
      <c r="G63" s="487"/>
      <c r="H63" s="494">
        <v>1570985.6</v>
      </c>
      <c r="I63" s="494"/>
      <c r="J63" s="491"/>
      <c r="K63" s="491"/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</row>
    <row r="64">
      <c r="A64" s="492">
        <v>45141.0</v>
      </c>
      <c r="B64" s="493" t="s">
        <v>658</v>
      </c>
      <c r="C64" s="484" t="s">
        <v>666</v>
      </c>
      <c r="D64" s="484"/>
      <c r="E64" s="485"/>
      <c r="F64" s="487">
        <v>199.96</v>
      </c>
      <c r="G64" s="487"/>
      <c r="H64" s="494">
        <v>1570785.64</v>
      </c>
      <c r="I64" s="494"/>
      <c r="J64" s="491"/>
      <c r="K64" s="491"/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</row>
    <row r="65">
      <c r="A65" s="492">
        <v>45141.0</v>
      </c>
      <c r="B65" s="493" t="s">
        <v>667</v>
      </c>
      <c r="C65" s="484" t="s">
        <v>668</v>
      </c>
      <c r="D65" s="484"/>
      <c r="E65" s="485"/>
      <c r="F65" s="487">
        <v>7.0</v>
      </c>
      <c r="G65" s="487"/>
      <c r="H65" s="494">
        <v>1570778.64</v>
      </c>
      <c r="I65" s="494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</row>
    <row r="66">
      <c r="A66" s="492">
        <v>45141.0</v>
      </c>
      <c r="B66" s="493" t="s">
        <v>667</v>
      </c>
      <c r="C66" s="484" t="s">
        <v>668</v>
      </c>
      <c r="D66" s="485"/>
      <c r="E66" s="485"/>
      <c r="F66" s="487">
        <v>7.0</v>
      </c>
      <c r="G66" s="487"/>
      <c r="H66" s="494">
        <v>1570771.64</v>
      </c>
      <c r="I66" s="494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</row>
    <row r="67">
      <c r="A67" s="492">
        <v>45141.0</v>
      </c>
      <c r="B67" s="493" t="s">
        <v>669</v>
      </c>
      <c r="C67" s="484" t="s">
        <v>670</v>
      </c>
      <c r="D67" s="485"/>
      <c r="E67" s="485"/>
      <c r="F67" s="487"/>
      <c r="G67" s="487">
        <v>620.98</v>
      </c>
      <c r="H67" s="494">
        <v>1571392.62</v>
      </c>
      <c r="I67" s="494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</row>
    <row r="68">
      <c r="A68" s="492">
        <v>45141.0</v>
      </c>
      <c r="B68" s="493"/>
      <c r="C68" s="484" t="s">
        <v>671</v>
      </c>
      <c r="D68" s="484"/>
      <c r="E68" s="484"/>
      <c r="F68" s="487"/>
      <c r="G68" s="487">
        <v>350.0</v>
      </c>
      <c r="H68" s="494">
        <v>1571742.62</v>
      </c>
      <c r="I68" s="494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</row>
    <row r="69">
      <c r="A69" s="492">
        <v>45142.0</v>
      </c>
      <c r="B69" s="493" t="s">
        <v>672</v>
      </c>
      <c r="C69" s="484" t="s">
        <v>673</v>
      </c>
      <c r="D69" s="484"/>
      <c r="E69" s="484"/>
      <c r="F69" s="487">
        <v>127.98</v>
      </c>
      <c r="G69" s="487"/>
      <c r="H69" s="494">
        <v>1571614.64</v>
      </c>
      <c r="I69" s="494"/>
      <c r="J69" s="491"/>
      <c r="K69" s="491"/>
      <c r="L69" s="491"/>
      <c r="M69" s="491"/>
      <c r="N69" s="491"/>
      <c r="O69" s="491"/>
      <c r="P69" s="491"/>
      <c r="Q69" s="491"/>
      <c r="R69" s="491"/>
      <c r="S69" s="491"/>
      <c r="T69" s="491"/>
      <c r="U69" s="491"/>
      <c r="V69" s="491"/>
      <c r="W69" s="491"/>
      <c r="X69" s="491"/>
    </row>
    <row r="70">
      <c r="A70" s="492">
        <v>45142.0</v>
      </c>
      <c r="B70" s="493" t="s">
        <v>672</v>
      </c>
      <c r="C70" s="484" t="s">
        <v>674</v>
      </c>
      <c r="D70" s="484"/>
      <c r="E70" s="484"/>
      <c r="F70" s="487">
        <v>621.36</v>
      </c>
      <c r="G70" s="487"/>
      <c r="H70" s="494">
        <v>1570993.28</v>
      </c>
      <c r="I70" s="494"/>
      <c r="J70" s="491"/>
      <c r="K70" s="491"/>
      <c r="L70" s="491"/>
      <c r="M70" s="491"/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</row>
    <row r="71">
      <c r="A71" s="492">
        <v>45142.0</v>
      </c>
      <c r="B71" s="493" t="s">
        <v>672</v>
      </c>
      <c r="C71" s="484" t="s">
        <v>675</v>
      </c>
      <c r="D71" s="484"/>
      <c r="E71" s="484"/>
      <c r="F71" s="487">
        <v>59.0</v>
      </c>
      <c r="G71" s="487"/>
      <c r="H71" s="494">
        <v>1570934.28</v>
      </c>
      <c r="I71" s="494"/>
      <c r="J71" s="491"/>
      <c r="K71" s="491"/>
      <c r="L71" s="491"/>
      <c r="M71" s="491"/>
      <c r="N71" s="491"/>
      <c r="O71" s="491"/>
      <c r="P71" s="491"/>
      <c r="Q71" s="491"/>
      <c r="R71" s="491"/>
      <c r="S71" s="491"/>
      <c r="T71" s="491"/>
      <c r="U71" s="491"/>
      <c r="V71" s="491"/>
      <c r="W71" s="491"/>
      <c r="X71" s="491"/>
    </row>
    <row r="72">
      <c r="A72" s="492">
        <v>45142.0</v>
      </c>
      <c r="B72" s="493" t="s">
        <v>672</v>
      </c>
      <c r="C72" s="484" t="s">
        <v>676</v>
      </c>
      <c r="D72" s="484"/>
      <c r="E72" s="484"/>
      <c r="F72" s="487">
        <v>88.26</v>
      </c>
      <c r="G72" s="487"/>
      <c r="H72" s="494">
        <v>1570846.02</v>
      </c>
      <c r="I72" s="494"/>
      <c r="J72" s="491"/>
      <c r="K72" s="491"/>
      <c r="L72" s="491"/>
      <c r="M72" s="491"/>
      <c r="N72" s="491"/>
      <c r="O72" s="491"/>
      <c r="P72" s="491"/>
      <c r="Q72" s="491"/>
      <c r="R72" s="491"/>
      <c r="S72" s="491"/>
      <c r="T72" s="491"/>
      <c r="U72" s="491"/>
      <c r="V72" s="491"/>
      <c r="W72" s="491"/>
      <c r="X72" s="491"/>
    </row>
    <row r="73">
      <c r="A73" s="492">
        <v>45145.0</v>
      </c>
      <c r="B73" s="493" t="s">
        <v>677</v>
      </c>
      <c r="C73" s="484" t="s">
        <v>678</v>
      </c>
      <c r="D73" s="484"/>
      <c r="E73" s="485"/>
      <c r="F73" s="487">
        <v>5517.57</v>
      </c>
      <c r="G73" s="487"/>
      <c r="H73" s="494">
        <v>1565328.45</v>
      </c>
      <c r="I73" s="494"/>
      <c r="J73" s="491"/>
      <c r="K73" s="491"/>
      <c r="L73" s="491"/>
      <c r="M73" s="491"/>
      <c r="N73" s="491"/>
      <c r="O73" s="491"/>
      <c r="P73" s="491"/>
      <c r="Q73" s="491"/>
      <c r="R73" s="491"/>
      <c r="S73" s="491"/>
      <c r="T73" s="491"/>
      <c r="U73" s="491"/>
      <c r="V73" s="491"/>
      <c r="W73" s="491"/>
      <c r="X73" s="491"/>
    </row>
    <row r="74">
      <c r="A74" s="492">
        <v>45145.0</v>
      </c>
      <c r="B74" s="493" t="s">
        <v>677</v>
      </c>
      <c r="C74" s="484" t="s">
        <v>679</v>
      </c>
      <c r="D74" s="485"/>
      <c r="E74" s="485"/>
      <c r="F74" s="487">
        <v>14096.0</v>
      </c>
      <c r="G74" s="487"/>
      <c r="H74" s="494">
        <v>1551232.45</v>
      </c>
      <c r="I74" s="494"/>
      <c r="J74" s="491"/>
      <c r="K74" s="491"/>
      <c r="L74" s="491"/>
      <c r="M74" s="491"/>
      <c r="N74" s="491"/>
      <c r="O74" s="491"/>
      <c r="P74" s="491"/>
      <c r="Q74" s="491"/>
      <c r="R74" s="491"/>
      <c r="S74" s="491"/>
      <c r="T74" s="491"/>
      <c r="U74" s="491"/>
      <c r="V74" s="491"/>
      <c r="W74" s="491"/>
      <c r="X74" s="491"/>
    </row>
    <row r="75">
      <c r="A75" s="492">
        <v>45145.0</v>
      </c>
      <c r="B75" s="493" t="s">
        <v>677</v>
      </c>
      <c r="C75" s="484" t="s">
        <v>680</v>
      </c>
      <c r="D75" s="484"/>
      <c r="E75" s="484"/>
      <c r="F75" s="487">
        <v>10258.34</v>
      </c>
      <c r="G75" s="487"/>
      <c r="H75" s="494">
        <v>1540974.11</v>
      </c>
      <c r="I75" s="494"/>
      <c r="J75" s="491"/>
      <c r="K75" s="491"/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1"/>
    </row>
    <row r="76">
      <c r="A76" s="492">
        <v>45145.0</v>
      </c>
      <c r="B76" s="493" t="s">
        <v>681</v>
      </c>
      <c r="C76" s="484" t="s">
        <v>682</v>
      </c>
      <c r="D76" s="485"/>
      <c r="E76" s="485"/>
      <c r="F76" s="487">
        <v>198.0</v>
      </c>
      <c r="G76" s="487"/>
      <c r="H76" s="494">
        <v>1540776.11</v>
      </c>
      <c r="I76" s="494"/>
      <c r="J76" s="491"/>
      <c r="K76" s="491"/>
      <c r="L76" s="491"/>
      <c r="M76" s="491"/>
      <c r="N76" s="491"/>
      <c r="O76" s="491"/>
      <c r="P76" s="491"/>
      <c r="Q76" s="491"/>
      <c r="R76" s="491"/>
      <c r="S76" s="491"/>
      <c r="T76" s="491"/>
      <c r="U76" s="491"/>
      <c r="V76" s="491"/>
      <c r="W76" s="491"/>
      <c r="X76" s="491"/>
    </row>
    <row r="77">
      <c r="A77" s="492">
        <v>45145.0</v>
      </c>
      <c r="B77" s="493" t="s">
        <v>681</v>
      </c>
      <c r="C77" s="484" t="s">
        <v>683</v>
      </c>
      <c r="D77" s="484"/>
      <c r="E77" s="485"/>
      <c r="F77" s="487">
        <v>7.67</v>
      </c>
      <c r="G77" s="487"/>
      <c r="H77" s="494">
        <v>1540768.44</v>
      </c>
      <c r="I77" s="494"/>
      <c r="J77" s="491"/>
      <c r="K77" s="491"/>
      <c r="L77" s="491"/>
      <c r="M77" s="491"/>
      <c r="N77" s="491"/>
      <c r="O77" s="491"/>
      <c r="P77" s="491"/>
      <c r="Q77" s="491"/>
      <c r="R77" s="491"/>
      <c r="S77" s="491"/>
      <c r="T77" s="491"/>
      <c r="U77" s="491"/>
      <c r="V77" s="491"/>
      <c r="W77" s="491"/>
      <c r="X77" s="491"/>
    </row>
    <row r="78">
      <c r="A78" s="492">
        <v>45145.0</v>
      </c>
      <c r="B78" s="493" t="s">
        <v>681</v>
      </c>
      <c r="C78" s="484" t="s">
        <v>684</v>
      </c>
      <c r="D78" s="484"/>
      <c r="E78" s="485"/>
      <c r="F78" s="487">
        <v>92.24</v>
      </c>
      <c r="G78" s="487"/>
      <c r="H78" s="494">
        <v>1540676.2</v>
      </c>
      <c r="I78" s="494"/>
      <c r="J78" s="491"/>
      <c r="K78" s="491"/>
      <c r="L78" s="491"/>
      <c r="M78" s="491"/>
      <c r="N78" s="491"/>
      <c r="O78" s="491"/>
      <c r="P78" s="491"/>
      <c r="Q78" s="491"/>
      <c r="R78" s="491"/>
      <c r="S78" s="491"/>
      <c r="T78" s="491"/>
      <c r="U78" s="491"/>
      <c r="V78" s="491"/>
      <c r="W78" s="491"/>
      <c r="X78" s="491"/>
    </row>
    <row r="79">
      <c r="A79" s="492">
        <v>45145.0</v>
      </c>
      <c r="B79" s="493" t="s">
        <v>681</v>
      </c>
      <c r="C79" s="484" t="s">
        <v>685</v>
      </c>
      <c r="D79" s="485"/>
      <c r="E79" s="485"/>
      <c r="F79" s="487">
        <v>600.0</v>
      </c>
      <c r="G79" s="487"/>
      <c r="H79" s="494">
        <v>1540076.2</v>
      </c>
      <c r="I79" s="494"/>
      <c r="J79" s="491"/>
      <c r="K79" s="491"/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</row>
    <row r="80">
      <c r="A80" s="492">
        <v>45146.0</v>
      </c>
      <c r="B80" s="493" t="s">
        <v>651</v>
      </c>
      <c r="C80" s="484" t="s">
        <v>686</v>
      </c>
      <c r="D80" s="484"/>
      <c r="E80" s="484"/>
      <c r="F80" s="487">
        <v>1560.93</v>
      </c>
      <c r="G80" s="487"/>
      <c r="H80" s="494">
        <v>1538515.27</v>
      </c>
      <c r="I80" s="494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/>
    </row>
    <row r="81">
      <c r="A81" s="492">
        <v>45146.0</v>
      </c>
      <c r="B81" s="493" t="s">
        <v>687</v>
      </c>
      <c r="C81" s="484" t="s">
        <v>688</v>
      </c>
      <c r="D81" s="485"/>
      <c r="E81" s="485"/>
      <c r="F81" s="487"/>
      <c r="G81" s="487">
        <v>476.26</v>
      </c>
      <c r="H81" s="494">
        <v>1538991.53</v>
      </c>
      <c r="I81" s="494"/>
      <c r="J81" s="491"/>
      <c r="K81" s="491"/>
      <c r="L81" s="491"/>
      <c r="M81" s="491"/>
      <c r="N81" s="491"/>
      <c r="O81" s="491"/>
      <c r="P81" s="491"/>
      <c r="Q81" s="491"/>
      <c r="R81" s="491"/>
      <c r="S81" s="491"/>
      <c r="T81" s="491"/>
      <c r="U81" s="491"/>
      <c r="V81" s="491"/>
      <c r="W81" s="491"/>
      <c r="X81" s="491"/>
    </row>
    <row r="82">
      <c r="A82" s="492">
        <v>45146.0</v>
      </c>
      <c r="B82" s="493" t="s">
        <v>689</v>
      </c>
      <c r="C82" s="484" t="s">
        <v>690</v>
      </c>
      <c r="D82" s="484"/>
      <c r="E82" s="485"/>
      <c r="F82" s="487">
        <v>15.7</v>
      </c>
      <c r="G82" s="487"/>
      <c r="H82" s="494">
        <v>1538975.83</v>
      </c>
      <c r="I82" s="494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91"/>
      <c r="W82" s="491"/>
      <c r="X82" s="491"/>
    </row>
    <row r="83">
      <c r="A83" s="492">
        <v>45146.0</v>
      </c>
      <c r="B83" s="493" t="s">
        <v>689</v>
      </c>
      <c r="C83" s="484" t="s">
        <v>691</v>
      </c>
      <c r="D83" s="485"/>
      <c r="E83" s="485"/>
      <c r="F83" s="487">
        <v>22.89</v>
      </c>
      <c r="G83" s="487"/>
      <c r="H83" s="494">
        <v>1538952.94</v>
      </c>
      <c r="I83" s="494"/>
      <c r="J83" s="491"/>
      <c r="K83" s="491"/>
      <c r="L83" s="491"/>
      <c r="M83" s="491"/>
      <c r="N83" s="491"/>
      <c r="O83" s="491"/>
      <c r="P83" s="491"/>
      <c r="Q83" s="491"/>
      <c r="R83" s="491"/>
      <c r="S83" s="491"/>
      <c r="T83" s="491"/>
      <c r="U83" s="491"/>
      <c r="V83" s="491"/>
      <c r="W83" s="491"/>
      <c r="X83" s="491"/>
    </row>
    <row r="84">
      <c r="A84" s="492">
        <v>45146.0</v>
      </c>
      <c r="B84" s="493" t="s">
        <v>689</v>
      </c>
      <c r="C84" s="484" t="s">
        <v>692</v>
      </c>
      <c r="D84" s="485"/>
      <c r="E84" s="485"/>
      <c r="F84" s="487">
        <v>168.0</v>
      </c>
      <c r="G84" s="487"/>
      <c r="H84" s="494">
        <v>1538784.94</v>
      </c>
      <c r="I84" s="494"/>
      <c r="J84" s="491"/>
      <c r="K84" s="491"/>
      <c r="L84" s="491"/>
      <c r="M84" s="491"/>
      <c r="N84" s="491"/>
      <c r="O84" s="491"/>
      <c r="P84" s="491"/>
      <c r="Q84" s="491"/>
      <c r="R84" s="491"/>
      <c r="S84" s="491"/>
      <c r="T84" s="491"/>
      <c r="U84" s="491"/>
      <c r="V84" s="491"/>
      <c r="W84" s="491"/>
      <c r="X84" s="491"/>
    </row>
    <row r="85">
      <c r="A85" s="492">
        <v>45146.0</v>
      </c>
      <c r="B85" s="493" t="s">
        <v>689</v>
      </c>
      <c r="C85" s="484" t="s">
        <v>693</v>
      </c>
      <c r="D85" s="484"/>
      <c r="E85" s="484"/>
      <c r="F85" s="487">
        <v>136.51</v>
      </c>
      <c r="G85" s="487"/>
      <c r="H85" s="494">
        <v>1538648.43</v>
      </c>
      <c r="I85" s="494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491"/>
      <c r="X85" s="491"/>
    </row>
    <row r="86">
      <c r="A86" s="492">
        <v>45146.0</v>
      </c>
      <c r="B86" s="493" t="s">
        <v>689</v>
      </c>
      <c r="C86" s="484" t="s">
        <v>693</v>
      </c>
      <c r="D86" s="484"/>
      <c r="E86" s="484"/>
      <c r="F86" s="487">
        <v>136.52</v>
      </c>
      <c r="G86" s="487"/>
      <c r="H86" s="494">
        <v>1538511.91</v>
      </c>
      <c r="I86" s="494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1"/>
      <c r="X86" s="491"/>
    </row>
    <row r="87">
      <c r="A87" s="492">
        <v>45146.0</v>
      </c>
      <c r="B87" s="493" t="s">
        <v>689</v>
      </c>
      <c r="C87" s="484" t="s">
        <v>694</v>
      </c>
      <c r="D87" s="484"/>
      <c r="E87" s="484"/>
      <c r="F87" s="487">
        <v>93.16</v>
      </c>
      <c r="G87" s="487"/>
      <c r="H87" s="494">
        <v>1538418.75</v>
      </c>
      <c r="I87" s="494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491"/>
      <c r="V87" s="491"/>
      <c r="W87" s="491"/>
      <c r="X87" s="491"/>
    </row>
    <row r="88">
      <c r="A88" s="492">
        <v>45146.0</v>
      </c>
      <c r="B88" s="493" t="s">
        <v>689</v>
      </c>
      <c r="C88" s="484" t="s">
        <v>691</v>
      </c>
      <c r="D88" s="484"/>
      <c r="E88" s="485"/>
      <c r="F88" s="487">
        <v>39.9</v>
      </c>
      <c r="G88" s="487"/>
      <c r="H88" s="494">
        <v>1538378.85</v>
      </c>
      <c r="I88" s="494"/>
      <c r="J88" s="491"/>
      <c r="K88" s="491"/>
      <c r="L88" s="491"/>
      <c r="M88" s="491"/>
      <c r="N88" s="491"/>
      <c r="O88" s="491"/>
      <c r="P88" s="491"/>
      <c r="Q88" s="491"/>
      <c r="R88" s="491"/>
      <c r="S88" s="491"/>
      <c r="T88" s="491"/>
      <c r="U88" s="491"/>
      <c r="V88" s="491"/>
      <c r="W88" s="491"/>
      <c r="X88" s="491"/>
    </row>
    <row r="89">
      <c r="A89" s="492">
        <v>45146.0</v>
      </c>
      <c r="B89" s="493" t="s">
        <v>689</v>
      </c>
      <c r="C89" s="484" t="s">
        <v>695</v>
      </c>
      <c r="D89" s="484"/>
      <c r="E89" s="484"/>
      <c r="F89" s="487">
        <v>67.46</v>
      </c>
      <c r="G89" s="487"/>
      <c r="H89" s="494">
        <v>1538311.39</v>
      </c>
      <c r="I89" s="494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</row>
    <row r="90">
      <c r="A90" s="492">
        <v>45146.0</v>
      </c>
      <c r="B90" s="493" t="s">
        <v>689</v>
      </c>
      <c r="C90" s="484" t="s">
        <v>691</v>
      </c>
      <c r="D90" s="484"/>
      <c r="E90" s="485"/>
      <c r="F90" s="487">
        <v>12.76</v>
      </c>
      <c r="G90" s="487"/>
      <c r="H90" s="494">
        <v>1538298.63</v>
      </c>
      <c r="I90" s="494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491"/>
      <c r="V90" s="491"/>
      <c r="W90" s="491"/>
      <c r="X90" s="491"/>
    </row>
    <row r="91">
      <c r="A91" s="492">
        <v>45146.0</v>
      </c>
      <c r="B91" s="493" t="s">
        <v>689</v>
      </c>
      <c r="C91" s="484" t="s">
        <v>696</v>
      </c>
      <c r="D91" s="484"/>
      <c r="E91" s="484"/>
      <c r="F91" s="487">
        <v>67.0</v>
      </c>
      <c r="G91" s="487"/>
      <c r="H91" s="494">
        <v>1538231.63</v>
      </c>
      <c r="I91" s="494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491"/>
      <c r="V91" s="491"/>
      <c r="W91" s="491"/>
      <c r="X91" s="491"/>
    </row>
    <row r="92">
      <c r="A92" s="492">
        <v>45146.0</v>
      </c>
      <c r="B92" s="493" t="s">
        <v>689</v>
      </c>
      <c r="C92" s="484" t="s">
        <v>691</v>
      </c>
      <c r="D92" s="484"/>
      <c r="E92" s="484"/>
      <c r="F92" s="487">
        <v>17.41</v>
      </c>
      <c r="G92" s="487"/>
      <c r="H92" s="494">
        <v>1538214.22</v>
      </c>
      <c r="I92" s="494"/>
      <c r="J92" s="491"/>
      <c r="K92" s="491"/>
      <c r="L92" s="491"/>
      <c r="M92" s="491"/>
      <c r="N92" s="491"/>
      <c r="O92" s="491"/>
      <c r="P92" s="491"/>
      <c r="Q92" s="491"/>
      <c r="R92" s="491"/>
      <c r="S92" s="491"/>
      <c r="T92" s="491"/>
      <c r="U92" s="491"/>
      <c r="V92" s="491"/>
      <c r="W92" s="491"/>
      <c r="X92" s="491"/>
    </row>
    <row r="93">
      <c r="A93" s="492">
        <v>45146.0</v>
      </c>
      <c r="B93" s="493" t="s">
        <v>689</v>
      </c>
      <c r="C93" s="484" t="s">
        <v>697</v>
      </c>
      <c r="D93" s="484"/>
      <c r="E93" s="484"/>
      <c r="F93" s="487">
        <v>8.17</v>
      </c>
      <c r="G93" s="487"/>
      <c r="H93" s="494">
        <v>1538206.05</v>
      </c>
      <c r="I93" s="494"/>
      <c r="J93" s="491"/>
      <c r="K93" s="491"/>
      <c r="L93" s="491"/>
      <c r="M93" s="491"/>
      <c r="N93" s="491"/>
      <c r="O93" s="491"/>
      <c r="P93" s="491"/>
      <c r="Q93" s="491"/>
      <c r="R93" s="491"/>
      <c r="S93" s="491"/>
      <c r="T93" s="491"/>
      <c r="U93" s="491"/>
      <c r="V93" s="491"/>
      <c r="W93" s="491"/>
      <c r="X93" s="491"/>
    </row>
    <row r="94">
      <c r="A94" s="492">
        <v>45146.0</v>
      </c>
      <c r="B94" s="493" t="s">
        <v>689</v>
      </c>
      <c r="C94" s="484" t="s">
        <v>691</v>
      </c>
      <c r="D94" s="484"/>
      <c r="E94" s="484"/>
      <c r="F94" s="487">
        <v>40.68</v>
      </c>
      <c r="G94" s="487"/>
      <c r="H94" s="494">
        <v>1538165.37</v>
      </c>
      <c r="I94" s="494"/>
      <c r="J94" s="491"/>
      <c r="K94" s="491"/>
      <c r="L94" s="491"/>
      <c r="M94" s="491"/>
      <c r="N94" s="491"/>
      <c r="O94" s="491"/>
      <c r="P94" s="491"/>
      <c r="Q94" s="491"/>
      <c r="R94" s="491"/>
      <c r="S94" s="491"/>
      <c r="T94" s="491"/>
      <c r="U94" s="491"/>
      <c r="V94" s="491"/>
      <c r="W94" s="491"/>
      <c r="X94" s="491"/>
    </row>
    <row r="95">
      <c r="A95" s="492">
        <v>45146.0</v>
      </c>
      <c r="B95" s="493" t="s">
        <v>689</v>
      </c>
      <c r="C95" s="484" t="s">
        <v>691</v>
      </c>
      <c r="D95" s="484"/>
      <c r="E95" s="484"/>
      <c r="F95" s="487">
        <v>40.72</v>
      </c>
      <c r="G95" s="487"/>
      <c r="H95" s="494">
        <v>1538124.65</v>
      </c>
      <c r="I95" s="494"/>
      <c r="J95" s="491"/>
      <c r="K95" s="491"/>
      <c r="L95" s="491"/>
      <c r="M95" s="491"/>
      <c r="N95" s="491"/>
      <c r="O95" s="491"/>
      <c r="P95" s="491"/>
      <c r="Q95" s="491"/>
      <c r="R95" s="491"/>
      <c r="S95" s="491"/>
      <c r="T95" s="491"/>
      <c r="U95" s="491"/>
      <c r="V95" s="491"/>
      <c r="W95" s="491"/>
      <c r="X95" s="491"/>
    </row>
    <row r="96">
      <c r="A96" s="492">
        <v>45146.0</v>
      </c>
      <c r="B96" s="493" t="s">
        <v>689</v>
      </c>
      <c r="C96" s="484" t="s">
        <v>698</v>
      </c>
      <c r="D96" s="485"/>
      <c r="E96" s="485"/>
      <c r="F96" s="487">
        <v>479.7</v>
      </c>
      <c r="G96" s="487"/>
      <c r="H96" s="494">
        <v>1537644.95</v>
      </c>
      <c r="I96" s="494"/>
      <c r="J96" s="491"/>
      <c r="K96" s="491"/>
      <c r="L96" s="491"/>
      <c r="M96" s="491"/>
      <c r="N96" s="491"/>
      <c r="O96" s="491"/>
      <c r="P96" s="491"/>
      <c r="Q96" s="491"/>
      <c r="R96" s="491"/>
      <c r="S96" s="491"/>
      <c r="T96" s="491"/>
      <c r="U96" s="491"/>
      <c r="V96" s="491"/>
      <c r="W96" s="491"/>
      <c r="X96" s="491"/>
    </row>
    <row r="97">
      <c r="A97" s="492">
        <v>45146.0</v>
      </c>
      <c r="B97" s="493" t="s">
        <v>689</v>
      </c>
      <c r="C97" s="484" t="s">
        <v>699</v>
      </c>
      <c r="D97" s="484"/>
      <c r="E97" s="485"/>
      <c r="F97" s="487">
        <v>217.66</v>
      </c>
      <c r="G97" s="487"/>
      <c r="H97" s="494">
        <v>1537427.29</v>
      </c>
      <c r="I97" s="494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</row>
    <row r="98">
      <c r="A98" s="492">
        <v>45146.0</v>
      </c>
      <c r="B98" s="493" t="s">
        <v>689</v>
      </c>
      <c r="C98" s="484" t="s">
        <v>691</v>
      </c>
      <c r="D98" s="484"/>
      <c r="E98" s="484"/>
      <c r="F98" s="487">
        <v>21.5</v>
      </c>
      <c r="G98" s="487"/>
      <c r="H98" s="494">
        <v>1537405.79</v>
      </c>
      <c r="I98" s="494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91"/>
      <c r="X98" s="491"/>
    </row>
    <row r="99">
      <c r="A99" s="492">
        <v>45146.0</v>
      </c>
      <c r="B99" s="493" t="s">
        <v>689</v>
      </c>
      <c r="C99" s="484" t="s">
        <v>691</v>
      </c>
      <c r="D99" s="484"/>
      <c r="E99" s="484"/>
      <c r="F99" s="487">
        <v>61.54</v>
      </c>
      <c r="G99" s="487"/>
      <c r="H99" s="494">
        <v>1537344.25</v>
      </c>
      <c r="I99" s="494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491"/>
      <c r="X99" s="491"/>
    </row>
    <row r="100">
      <c r="A100" s="492">
        <v>45146.0</v>
      </c>
      <c r="B100" s="493" t="s">
        <v>689</v>
      </c>
      <c r="C100" s="484" t="s">
        <v>700</v>
      </c>
      <c r="D100" s="484"/>
      <c r="E100" s="484"/>
      <c r="F100" s="487">
        <v>279.0</v>
      </c>
      <c r="G100" s="487"/>
      <c r="H100" s="494">
        <v>1537065.25</v>
      </c>
      <c r="I100" s="494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</row>
    <row r="101">
      <c r="A101" s="492">
        <v>45146.0</v>
      </c>
      <c r="B101" s="493" t="s">
        <v>689</v>
      </c>
      <c r="C101" s="484" t="s">
        <v>701</v>
      </c>
      <c r="D101" s="484"/>
      <c r="E101" s="485"/>
      <c r="F101" s="487">
        <v>99.0</v>
      </c>
      <c r="G101" s="487"/>
      <c r="H101" s="494">
        <v>1536966.25</v>
      </c>
      <c r="I101" s="494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</row>
    <row r="102">
      <c r="A102" s="492">
        <v>45146.0</v>
      </c>
      <c r="B102" s="493" t="s">
        <v>689</v>
      </c>
      <c r="C102" s="484" t="s">
        <v>701</v>
      </c>
      <c r="D102" s="484"/>
      <c r="E102" s="484"/>
      <c r="F102" s="487">
        <v>99.0</v>
      </c>
      <c r="G102" s="487"/>
      <c r="H102" s="494">
        <v>1536867.25</v>
      </c>
      <c r="I102" s="494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</row>
    <row r="103">
      <c r="A103" s="492">
        <v>45146.0</v>
      </c>
      <c r="B103" s="493" t="s">
        <v>689</v>
      </c>
      <c r="C103" s="484" t="s">
        <v>701</v>
      </c>
      <c r="D103" s="484"/>
      <c r="E103" s="484"/>
      <c r="F103" s="487">
        <v>99.0</v>
      </c>
      <c r="G103" s="487"/>
      <c r="H103" s="494">
        <v>1536768.25</v>
      </c>
      <c r="I103" s="494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491"/>
      <c r="X103" s="491"/>
    </row>
    <row r="104">
      <c r="A104" s="492">
        <v>45146.0</v>
      </c>
      <c r="B104" s="493" t="s">
        <v>689</v>
      </c>
      <c r="C104" s="484" t="s">
        <v>702</v>
      </c>
      <c r="D104" s="484"/>
      <c r="E104" s="485"/>
      <c r="F104" s="495">
        <v>10.31</v>
      </c>
      <c r="G104" s="487"/>
      <c r="H104" s="494">
        <v>1536757.94</v>
      </c>
      <c r="I104" s="494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</row>
    <row r="105">
      <c r="A105" s="492">
        <v>45146.0</v>
      </c>
      <c r="B105" s="493" t="s">
        <v>689</v>
      </c>
      <c r="C105" s="484" t="s">
        <v>703</v>
      </c>
      <c r="D105" s="484"/>
      <c r="E105" s="484"/>
      <c r="F105" s="487">
        <v>86.97</v>
      </c>
      <c r="G105" s="487"/>
      <c r="H105" s="494">
        <v>1536670.97</v>
      </c>
      <c r="I105" s="494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</row>
    <row r="106">
      <c r="A106" s="492">
        <v>45146.0</v>
      </c>
      <c r="B106" s="493" t="s">
        <v>689</v>
      </c>
      <c r="C106" s="484" t="s">
        <v>704</v>
      </c>
      <c r="D106" s="484"/>
      <c r="E106" s="484"/>
      <c r="F106" s="487">
        <v>600.48</v>
      </c>
      <c r="G106" s="487"/>
      <c r="H106" s="494">
        <v>1536070.49</v>
      </c>
      <c r="I106" s="494"/>
      <c r="J106" s="491"/>
      <c r="K106" s="491"/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</row>
    <row r="107">
      <c r="A107" s="492">
        <v>45146.0</v>
      </c>
      <c r="B107" s="493" t="s">
        <v>689</v>
      </c>
      <c r="C107" s="484" t="s">
        <v>705</v>
      </c>
      <c r="D107" s="484"/>
      <c r="E107" s="484"/>
      <c r="F107" s="487">
        <v>25.9</v>
      </c>
      <c r="G107" s="487"/>
      <c r="H107" s="494">
        <v>1536044.59</v>
      </c>
      <c r="I107" s="494"/>
      <c r="J107" s="491"/>
      <c r="K107" s="491"/>
      <c r="L107" s="491"/>
      <c r="M107" s="491"/>
      <c r="N107" s="491"/>
      <c r="O107" s="491"/>
      <c r="P107" s="491"/>
      <c r="Q107" s="491"/>
      <c r="R107" s="491"/>
      <c r="S107" s="491"/>
      <c r="T107" s="491"/>
      <c r="U107" s="491"/>
      <c r="V107" s="491"/>
      <c r="W107" s="491"/>
      <c r="X107" s="491"/>
    </row>
    <row r="108">
      <c r="A108" s="492">
        <v>45146.0</v>
      </c>
      <c r="B108" s="493" t="s">
        <v>689</v>
      </c>
      <c r="C108" s="484" t="s">
        <v>706</v>
      </c>
      <c r="D108" s="484"/>
      <c r="E108" s="484"/>
      <c r="F108" s="487">
        <v>24.11</v>
      </c>
      <c r="G108" s="487"/>
      <c r="H108" s="494">
        <v>1536020.48</v>
      </c>
      <c r="I108" s="494"/>
      <c r="J108" s="491"/>
      <c r="K108" s="491"/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</row>
    <row r="109">
      <c r="A109" s="492">
        <v>45146.0</v>
      </c>
      <c r="B109" s="493" t="s">
        <v>689</v>
      </c>
      <c r="C109" s="484" t="s">
        <v>707</v>
      </c>
      <c r="D109" s="484"/>
      <c r="E109" s="484"/>
      <c r="F109" s="487">
        <v>25.0</v>
      </c>
      <c r="G109" s="487"/>
      <c r="H109" s="494">
        <v>1535995.48</v>
      </c>
      <c r="I109" s="494"/>
      <c r="J109" s="491"/>
      <c r="K109" s="491"/>
      <c r="L109" s="491"/>
      <c r="M109" s="491"/>
      <c r="N109" s="491"/>
      <c r="O109" s="491"/>
      <c r="P109" s="491"/>
      <c r="Q109" s="491"/>
      <c r="R109" s="491"/>
      <c r="S109" s="491"/>
      <c r="T109" s="491"/>
      <c r="U109" s="491"/>
      <c r="V109" s="491"/>
      <c r="W109" s="491"/>
      <c r="X109" s="491"/>
    </row>
    <row r="110">
      <c r="A110" s="492">
        <v>45146.0</v>
      </c>
      <c r="B110" s="493" t="s">
        <v>689</v>
      </c>
      <c r="C110" s="484" t="s">
        <v>707</v>
      </c>
      <c r="D110" s="484"/>
      <c r="E110" s="484"/>
      <c r="F110" s="487">
        <v>24.0</v>
      </c>
      <c r="G110" s="487"/>
      <c r="H110" s="494">
        <v>1535971.48</v>
      </c>
      <c r="I110" s="494"/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</row>
    <row r="111">
      <c r="A111" s="492">
        <v>45146.0</v>
      </c>
      <c r="B111" s="493" t="s">
        <v>689</v>
      </c>
      <c r="C111" s="484" t="s">
        <v>707</v>
      </c>
      <c r="D111" s="484"/>
      <c r="E111" s="485"/>
      <c r="F111" s="487">
        <v>24.0</v>
      </c>
      <c r="G111" s="487"/>
      <c r="H111" s="494">
        <v>1535947.48</v>
      </c>
      <c r="I111" s="494"/>
      <c r="J111" s="491"/>
      <c r="K111" s="491"/>
      <c r="L111" s="491"/>
      <c r="M111" s="491"/>
      <c r="N111" s="491"/>
      <c r="O111" s="491"/>
      <c r="P111" s="491"/>
      <c r="Q111" s="491"/>
      <c r="R111" s="491"/>
      <c r="S111" s="491"/>
      <c r="T111" s="491"/>
      <c r="U111" s="491"/>
      <c r="V111" s="491"/>
      <c r="W111" s="491"/>
      <c r="X111" s="491"/>
    </row>
    <row r="112">
      <c r="A112" s="492">
        <v>45146.0</v>
      </c>
      <c r="B112" s="493" t="s">
        <v>689</v>
      </c>
      <c r="C112" s="484" t="s">
        <v>708</v>
      </c>
      <c r="D112" s="484"/>
      <c r="E112" s="484"/>
      <c r="F112" s="487">
        <v>112.5</v>
      </c>
      <c r="G112" s="487"/>
      <c r="H112" s="494">
        <v>1535834.98</v>
      </c>
      <c r="I112" s="494"/>
      <c r="J112" s="491"/>
      <c r="K112" s="491"/>
      <c r="L112" s="491"/>
      <c r="M112" s="491"/>
      <c r="N112" s="491"/>
      <c r="O112" s="491"/>
      <c r="P112" s="491"/>
      <c r="Q112" s="491"/>
      <c r="R112" s="491"/>
      <c r="S112" s="491"/>
      <c r="T112" s="491"/>
      <c r="U112" s="491"/>
      <c r="V112" s="491"/>
      <c r="W112" s="491"/>
      <c r="X112" s="491"/>
    </row>
    <row r="113">
      <c r="A113" s="492">
        <v>45146.0</v>
      </c>
      <c r="B113" s="493" t="s">
        <v>689</v>
      </c>
      <c r="C113" s="484" t="s">
        <v>709</v>
      </c>
      <c r="D113" s="484"/>
      <c r="E113" s="484"/>
      <c r="F113" s="487">
        <v>248.52</v>
      </c>
      <c r="G113" s="487"/>
      <c r="H113" s="494">
        <v>1535586.46</v>
      </c>
      <c r="I113" s="494"/>
      <c r="J113" s="491"/>
      <c r="K113" s="491"/>
      <c r="L113" s="491"/>
      <c r="M113" s="491"/>
      <c r="N113" s="491"/>
      <c r="O113" s="491"/>
      <c r="P113" s="491"/>
      <c r="Q113" s="491"/>
      <c r="R113" s="491"/>
      <c r="S113" s="491"/>
      <c r="T113" s="491"/>
      <c r="U113" s="491"/>
      <c r="V113" s="491"/>
      <c r="W113" s="491"/>
      <c r="X113" s="491"/>
    </row>
    <row r="114">
      <c r="A114" s="492">
        <v>45146.0</v>
      </c>
      <c r="B114" s="493" t="s">
        <v>689</v>
      </c>
      <c r="C114" s="484" t="s">
        <v>710</v>
      </c>
      <c r="D114" s="484"/>
      <c r="E114" s="484"/>
      <c r="F114" s="487">
        <v>70.68</v>
      </c>
      <c r="G114" s="487"/>
      <c r="H114" s="494">
        <v>1535515.78</v>
      </c>
      <c r="I114" s="494"/>
      <c r="J114" s="491"/>
      <c r="K114" s="491"/>
      <c r="L114" s="491"/>
      <c r="M114" s="491"/>
      <c r="N114" s="491"/>
      <c r="O114" s="491"/>
      <c r="P114" s="491"/>
      <c r="Q114" s="491"/>
      <c r="R114" s="491"/>
      <c r="S114" s="491"/>
      <c r="T114" s="491"/>
      <c r="U114" s="491"/>
      <c r="V114" s="491"/>
      <c r="W114" s="491"/>
      <c r="X114" s="491"/>
    </row>
    <row r="115">
      <c r="A115" s="492">
        <v>45146.0</v>
      </c>
      <c r="B115" s="493" t="s">
        <v>689</v>
      </c>
      <c r="C115" s="484" t="s">
        <v>711</v>
      </c>
      <c r="D115" s="484"/>
      <c r="E115" s="484"/>
      <c r="F115" s="487">
        <v>44.99</v>
      </c>
      <c r="G115" s="487"/>
      <c r="H115" s="494">
        <v>1535470.79</v>
      </c>
      <c r="I115" s="494"/>
      <c r="J115" s="491"/>
      <c r="K115" s="491"/>
      <c r="L115" s="491"/>
      <c r="M115" s="491"/>
      <c r="N115" s="491"/>
      <c r="O115" s="491"/>
      <c r="P115" s="491"/>
      <c r="Q115" s="491"/>
      <c r="R115" s="491"/>
      <c r="S115" s="491"/>
      <c r="T115" s="491"/>
      <c r="U115" s="491"/>
      <c r="V115" s="491"/>
      <c r="W115" s="491"/>
      <c r="X115" s="491"/>
    </row>
    <row r="116">
      <c r="A116" s="492">
        <v>45146.0</v>
      </c>
      <c r="B116" s="493" t="s">
        <v>689</v>
      </c>
      <c r="C116" s="484" t="s">
        <v>712</v>
      </c>
      <c r="D116" s="485"/>
      <c r="E116" s="485"/>
      <c r="F116" s="487">
        <v>79.12</v>
      </c>
      <c r="G116" s="487"/>
      <c r="H116" s="494">
        <v>1535391.67</v>
      </c>
      <c r="I116" s="494"/>
      <c r="J116" s="491"/>
      <c r="K116" s="491"/>
      <c r="L116" s="491"/>
      <c r="M116" s="491"/>
      <c r="N116" s="491"/>
      <c r="O116" s="491"/>
      <c r="P116" s="491"/>
      <c r="Q116" s="491"/>
      <c r="R116" s="491"/>
      <c r="S116" s="491"/>
      <c r="T116" s="491"/>
      <c r="U116" s="491"/>
      <c r="V116" s="491"/>
      <c r="W116" s="491"/>
      <c r="X116" s="491"/>
    </row>
    <row r="117">
      <c r="A117" s="492">
        <v>45146.0</v>
      </c>
      <c r="B117" s="493" t="s">
        <v>667</v>
      </c>
      <c r="C117" s="484" t="s">
        <v>668</v>
      </c>
      <c r="D117" s="485"/>
      <c r="E117" s="485"/>
      <c r="F117" s="487">
        <v>7.0</v>
      </c>
      <c r="G117" s="487"/>
      <c r="H117" s="494">
        <v>1535384.67</v>
      </c>
      <c r="I117" s="494"/>
      <c r="J117" s="491"/>
      <c r="K117" s="491"/>
      <c r="L117" s="491"/>
      <c r="M117" s="491"/>
      <c r="N117" s="491"/>
      <c r="O117" s="491"/>
      <c r="P117" s="491"/>
      <c r="Q117" s="491"/>
      <c r="R117" s="491"/>
      <c r="S117" s="491"/>
      <c r="T117" s="491"/>
      <c r="U117" s="491"/>
      <c r="V117" s="491"/>
      <c r="W117" s="491"/>
      <c r="X117" s="491"/>
    </row>
    <row r="118">
      <c r="A118" s="492">
        <v>45146.0</v>
      </c>
      <c r="B118" s="493" t="s">
        <v>713</v>
      </c>
      <c r="C118" s="484" t="s">
        <v>714</v>
      </c>
      <c r="D118" s="485"/>
      <c r="E118" s="485"/>
      <c r="F118" s="487"/>
      <c r="G118" s="487">
        <v>478.11</v>
      </c>
      <c r="H118" s="494">
        <v>1535862.78</v>
      </c>
      <c r="I118" s="494"/>
      <c r="J118" s="491"/>
      <c r="K118" s="491"/>
      <c r="L118" s="491"/>
      <c r="M118" s="491"/>
      <c r="N118" s="491"/>
      <c r="O118" s="491"/>
      <c r="P118" s="491"/>
      <c r="Q118" s="491"/>
      <c r="R118" s="491"/>
      <c r="S118" s="491"/>
      <c r="T118" s="491"/>
      <c r="U118" s="491"/>
      <c r="V118" s="491"/>
      <c r="W118" s="491"/>
      <c r="X118" s="491"/>
    </row>
    <row r="119">
      <c r="A119" s="492">
        <v>45146.0</v>
      </c>
      <c r="B119" s="493"/>
      <c r="C119" s="484" t="s">
        <v>715</v>
      </c>
      <c r="D119" s="485"/>
      <c r="E119" s="485"/>
      <c r="F119" s="487"/>
      <c r="G119" s="487">
        <v>403.75</v>
      </c>
      <c r="H119" s="494">
        <v>1536266.53</v>
      </c>
      <c r="I119" s="494"/>
      <c r="J119" s="491"/>
      <c r="K119" s="491"/>
      <c r="L119" s="491"/>
      <c r="M119" s="491"/>
      <c r="N119" s="491"/>
      <c r="O119" s="491"/>
      <c r="P119" s="491"/>
      <c r="Q119" s="491"/>
      <c r="R119" s="491"/>
      <c r="S119" s="491"/>
      <c r="T119" s="491"/>
      <c r="U119" s="491"/>
      <c r="V119" s="491"/>
      <c r="W119" s="491"/>
      <c r="X119" s="491"/>
    </row>
    <row r="120">
      <c r="A120" s="492">
        <v>45147.0</v>
      </c>
      <c r="B120" s="493" t="s">
        <v>716</v>
      </c>
      <c r="C120" s="484" t="s">
        <v>717</v>
      </c>
      <c r="D120" s="485"/>
      <c r="E120" s="485"/>
      <c r="F120" s="487">
        <v>40825.18</v>
      </c>
      <c r="G120" s="487"/>
      <c r="H120" s="494">
        <v>1495441.35</v>
      </c>
      <c r="I120" s="494"/>
      <c r="J120" s="491"/>
      <c r="K120" s="491"/>
      <c r="L120" s="491"/>
      <c r="M120" s="491"/>
      <c r="N120" s="491"/>
      <c r="O120" s="491"/>
      <c r="P120" s="491"/>
      <c r="Q120" s="491"/>
      <c r="R120" s="491"/>
      <c r="S120" s="491"/>
      <c r="T120" s="491"/>
      <c r="U120" s="491"/>
      <c r="V120" s="491"/>
      <c r="W120" s="491"/>
      <c r="X120" s="491"/>
    </row>
    <row r="121">
      <c r="A121" s="492">
        <v>45147.0</v>
      </c>
      <c r="B121" s="493" t="s">
        <v>716</v>
      </c>
      <c r="C121" s="484" t="s">
        <v>718</v>
      </c>
      <c r="D121" s="485"/>
      <c r="E121" s="485"/>
      <c r="F121" s="487">
        <v>4227.5</v>
      </c>
      <c r="G121" s="487"/>
      <c r="H121" s="494">
        <v>1491213.85</v>
      </c>
      <c r="I121" s="494"/>
      <c r="J121" s="491"/>
      <c r="K121" s="491"/>
      <c r="L121" s="491"/>
      <c r="M121" s="491"/>
      <c r="N121" s="491"/>
      <c r="O121" s="491"/>
      <c r="P121" s="491"/>
      <c r="Q121" s="491"/>
      <c r="R121" s="491"/>
      <c r="S121" s="491"/>
      <c r="T121" s="491"/>
      <c r="U121" s="491"/>
      <c r="V121" s="491"/>
      <c r="W121" s="491"/>
      <c r="X121" s="491"/>
    </row>
    <row r="122">
      <c r="A122" s="492">
        <v>45147.0</v>
      </c>
      <c r="B122" s="493" t="s">
        <v>716</v>
      </c>
      <c r="C122" s="484" t="s">
        <v>719</v>
      </c>
      <c r="D122" s="485"/>
      <c r="E122" s="485"/>
      <c r="F122" s="487">
        <v>1025.0</v>
      </c>
      <c r="G122" s="487"/>
      <c r="H122" s="494">
        <v>1490188.85</v>
      </c>
      <c r="I122" s="494"/>
      <c r="J122" s="491"/>
      <c r="K122" s="491"/>
      <c r="L122" s="491"/>
      <c r="M122" s="491"/>
      <c r="N122" s="491"/>
      <c r="O122" s="491"/>
      <c r="P122" s="491"/>
      <c r="Q122" s="491"/>
      <c r="R122" s="491"/>
      <c r="S122" s="491"/>
      <c r="T122" s="491"/>
      <c r="U122" s="491"/>
      <c r="V122" s="491"/>
      <c r="W122" s="491"/>
      <c r="X122" s="491"/>
    </row>
    <row r="123">
      <c r="A123" s="492">
        <v>45147.0</v>
      </c>
      <c r="B123" s="493" t="s">
        <v>716</v>
      </c>
      <c r="C123" s="484" t="s">
        <v>720</v>
      </c>
      <c r="D123" s="485"/>
      <c r="E123" s="485"/>
      <c r="F123" s="487">
        <v>63.8</v>
      </c>
      <c r="G123" s="487"/>
      <c r="H123" s="494">
        <v>1490125.05</v>
      </c>
      <c r="I123" s="494"/>
      <c r="J123" s="491"/>
      <c r="K123" s="491"/>
      <c r="L123" s="491"/>
      <c r="M123" s="491"/>
      <c r="N123" s="491"/>
      <c r="O123" s="491"/>
      <c r="P123" s="491"/>
      <c r="Q123" s="491"/>
      <c r="R123" s="491"/>
      <c r="S123" s="491"/>
      <c r="T123" s="491"/>
      <c r="U123" s="491"/>
      <c r="V123" s="491"/>
      <c r="W123" s="491"/>
      <c r="X123" s="491"/>
    </row>
    <row r="124">
      <c r="A124" s="492">
        <v>45147.0</v>
      </c>
      <c r="B124" s="493" t="s">
        <v>716</v>
      </c>
      <c r="C124" s="484" t="s">
        <v>721</v>
      </c>
      <c r="D124" s="485"/>
      <c r="E124" s="485"/>
      <c r="F124" s="487">
        <v>2275.0</v>
      </c>
      <c r="G124" s="487"/>
      <c r="H124" s="494">
        <v>1487850.05</v>
      </c>
      <c r="I124" s="494"/>
      <c r="J124" s="491"/>
      <c r="K124" s="491"/>
      <c r="L124" s="491"/>
      <c r="M124" s="491"/>
      <c r="N124" s="491"/>
      <c r="O124" s="491"/>
      <c r="P124" s="491"/>
      <c r="Q124" s="491"/>
      <c r="R124" s="491"/>
      <c r="S124" s="491"/>
      <c r="T124" s="491"/>
      <c r="U124" s="491"/>
      <c r="V124" s="491"/>
      <c r="W124" s="491"/>
      <c r="X124" s="491"/>
    </row>
    <row r="125">
      <c r="A125" s="492">
        <v>45147.0</v>
      </c>
      <c r="B125" s="493" t="s">
        <v>716</v>
      </c>
      <c r="C125" s="484" t="s">
        <v>721</v>
      </c>
      <c r="D125" s="484"/>
      <c r="E125" s="485"/>
      <c r="F125" s="487">
        <v>2625.0</v>
      </c>
      <c r="G125" s="487"/>
      <c r="H125" s="494">
        <v>1485225.05</v>
      </c>
      <c r="I125" s="494"/>
      <c r="J125" s="491"/>
      <c r="K125" s="491"/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</row>
    <row r="126">
      <c r="A126" s="492">
        <v>45147.0</v>
      </c>
      <c r="B126" s="493" t="s">
        <v>716</v>
      </c>
      <c r="C126" s="484" t="s">
        <v>722</v>
      </c>
      <c r="D126" s="484"/>
      <c r="E126" s="484"/>
      <c r="F126" s="487">
        <v>5746.3</v>
      </c>
      <c r="G126" s="487"/>
      <c r="H126" s="494">
        <v>1479478.75</v>
      </c>
      <c r="I126" s="494"/>
      <c r="J126" s="491"/>
      <c r="K126" s="491"/>
      <c r="L126" s="491"/>
      <c r="M126" s="491"/>
      <c r="N126" s="491"/>
      <c r="O126" s="491"/>
      <c r="P126" s="491"/>
      <c r="Q126" s="491"/>
      <c r="R126" s="491"/>
      <c r="S126" s="491"/>
      <c r="T126" s="491"/>
      <c r="U126" s="491"/>
      <c r="V126" s="491"/>
      <c r="W126" s="491"/>
      <c r="X126" s="491"/>
    </row>
    <row r="127">
      <c r="A127" s="492">
        <v>45147.0</v>
      </c>
      <c r="B127" s="493" t="s">
        <v>716</v>
      </c>
      <c r="C127" s="484" t="s">
        <v>723</v>
      </c>
      <c r="D127" s="484"/>
      <c r="E127" s="484"/>
      <c r="F127" s="487">
        <v>10000.0</v>
      </c>
      <c r="G127" s="487"/>
      <c r="H127" s="494">
        <v>1469478.75</v>
      </c>
      <c r="I127" s="494"/>
      <c r="J127" s="491"/>
      <c r="K127" s="491"/>
      <c r="L127" s="491"/>
      <c r="M127" s="491"/>
      <c r="N127" s="491"/>
      <c r="O127" s="491"/>
      <c r="P127" s="491"/>
      <c r="Q127" s="491"/>
      <c r="R127" s="491"/>
      <c r="S127" s="491"/>
      <c r="T127" s="491"/>
      <c r="U127" s="491"/>
      <c r="V127" s="491"/>
      <c r="W127" s="491"/>
      <c r="X127" s="491"/>
    </row>
    <row r="128">
      <c r="A128" s="492">
        <v>45147.0</v>
      </c>
      <c r="B128" s="493" t="s">
        <v>716</v>
      </c>
      <c r="C128" s="484" t="s">
        <v>724</v>
      </c>
      <c r="D128" s="485"/>
      <c r="E128" s="485"/>
      <c r="F128" s="487">
        <v>300.0</v>
      </c>
      <c r="G128" s="487"/>
      <c r="H128" s="494">
        <v>1469178.75</v>
      </c>
      <c r="I128" s="494"/>
      <c r="J128" s="491"/>
      <c r="K128" s="491"/>
      <c r="L128" s="491"/>
      <c r="M128" s="491"/>
      <c r="N128" s="491"/>
      <c r="O128" s="491"/>
      <c r="P128" s="491"/>
      <c r="Q128" s="491"/>
      <c r="R128" s="491"/>
      <c r="S128" s="491"/>
      <c r="T128" s="491"/>
      <c r="U128" s="491"/>
      <c r="V128" s="491"/>
      <c r="W128" s="491"/>
      <c r="X128" s="491"/>
    </row>
    <row r="129">
      <c r="A129" s="492">
        <v>45147.0</v>
      </c>
      <c r="B129" s="493" t="s">
        <v>716</v>
      </c>
      <c r="C129" s="484" t="s">
        <v>725</v>
      </c>
      <c r="D129" s="484"/>
      <c r="E129" s="484"/>
      <c r="F129" s="487">
        <v>43078.43</v>
      </c>
      <c r="G129" s="487"/>
      <c r="H129" s="494">
        <v>1426100.32</v>
      </c>
      <c r="I129" s="494"/>
      <c r="J129" s="491"/>
      <c r="K129" s="491"/>
      <c r="L129" s="491"/>
      <c r="M129" s="491"/>
      <c r="N129" s="491"/>
      <c r="O129" s="491"/>
      <c r="P129" s="491"/>
      <c r="Q129" s="491"/>
      <c r="R129" s="491"/>
      <c r="S129" s="491"/>
      <c r="T129" s="491"/>
      <c r="U129" s="491"/>
      <c r="V129" s="491"/>
      <c r="W129" s="491"/>
      <c r="X129" s="491"/>
    </row>
    <row r="130">
      <c r="A130" s="492">
        <v>45147.0</v>
      </c>
      <c r="B130" s="493" t="s">
        <v>716</v>
      </c>
      <c r="C130" s="484" t="s">
        <v>726</v>
      </c>
      <c r="D130" s="484"/>
      <c r="E130" s="484"/>
      <c r="F130" s="487">
        <v>51.0</v>
      </c>
      <c r="G130" s="487"/>
      <c r="H130" s="494">
        <v>1426049.32</v>
      </c>
      <c r="I130" s="494"/>
      <c r="J130" s="491"/>
      <c r="K130" s="491"/>
      <c r="L130" s="491"/>
      <c r="M130" s="491"/>
      <c r="N130" s="491"/>
      <c r="O130" s="491"/>
      <c r="P130" s="491"/>
      <c r="Q130" s="491"/>
      <c r="R130" s="491"/>
      <c r="S130" s="491"/>
      <c r="T130" s="491"/>
      <c r="U130" s="491"/>
      <c r="V130" s="491"/>
      <c r="W130" s="491"/>
      <c r="X130" s="491"/>
    </row>
    <row r="131">
      <c r="A131" s="496">
        <v>45147.0</v>
      </c>
      <c r="B131" s="497" t="s">
        <v>716</v>
      </c>
      <c r="C131" s="498" t="s">
        <v>727</v>
      </c>
      <c r="D131" s="498"/>
      <c r="E131" s="499"/>
      <c r="F131" s="500">
        <v>961.35</v>
      </c>
      <c r="G131" s="500"/>
      <c r="H131" s="501">
        <v>1425087.97</v>
      </c>
      <c r="I131" s="501" t="s">
        <v>728</v>
      </c>
      <c r="J131" s="491"/>
      <c r="K131" s="491"/>
      <c r="L131" s="491"/>
      <c r="M131" s="491"/>
      <c r="N131" s="491"/>
      <c r="O131" s="491"/>
      <c r="P131" s="491"/>
      <c r="Q131" s="491"/>
      <c r="R131" s="491"/>
      <c r="S131" s="491"/>
      <c r="T131" s="491"/>
      <c r="U131" s="491"/>
      <c r="V131" s="491"/>
      <c r="W131" s="491"/>
      <c r="X131" s="491"/>
    </row>
    <row r="132">
      <c r="A132" s="492">
        <v>45147.0</v>
      </c>
      <c r="B132" s="493" t="s">
        <v>716</v>
      </c>
      <c r="C132" s="484" t="s">
        <v>729</v>
      </c>
      <c r="D132" s="484"/>
      <c r="E132" s="484"/>
      <c r="F132" s="487">
        <v>403.75</v>
      </c>
      <c r="G132" s="487"/>
      <c r="H132" s="494">
        <v>1424684.22</v>
      </c>
      <c r="I132" s="494"/>
      <c r="J132" s="491"/>
      <c r="K132" s="491"/>
      <c r="L132" s="491"/>
      <c r="M132" s="491"/>
      <c r="N132" s="491"/>
      <c r="O132" s="491"/>
      <c r="P132" s="491"/>
      <c r="Q132" s="491"/>
      <c r="R132" s="491"/>
      <c r="S132" s="491"/>
      <c r="T132" s="491"/>
      <c r="U132" s="491"/>
      <c r="V132" s="491"/>
      <c r="W132" s="491"/>
      <c r="X132" s="491"/>
    </row>
    <row r="133">
      <c r="A133" s="492">
        <v>45147.0</v>
      </c>
      <c r="B133" s="493" t="s">
        <v>716</v>
      </c>
      <c r="C133" s="484" t="s">
        <v>730</v>
      </c>
      <c r="D133" s="484"/>
      <c r="E133" s="484"/>
      <c r="F133" s="487">
        <v>6415.5</v>
      </c>
      <c r="G133" s="487"/>
      <c r="H133" s="494">
        <v>1418268.72</v>
      </c>
      <c r="I133" s="494"/>
      <c r="J133" s="491"/>
      <c r="K133" s="491"/>
      <c r="L133" s="491"/>
      <c r="M133" s="491"/>
      <c r="N133" s="491"/>
      <c r="O133" s="491"/>
      <c r="P133" s="491"/>
      <c r="Q133" s="491"/>
      <c r="R133" s="491"/>
      <c r="S133" s="491"/>
      <c r="T133" s="491"/>
      <c r="U133" s="491"/>
      <c r="V133" s="491"/>
      <c r="W133" s="491"/>
      <c r="X133" s="491"/>
    </row>
    <row r="134">
      <c r="A134" s="496">
        <v>45147.0</v>
      </c>
      <c r="B134" s="497" t="s">
        <v>716</v>
      </c>
      <c r="C134" s="498" t="s">
        <v>731</v>
      </c>
      <c r="D134" s="498"/>
      <c r="E134" s="499"/>
      <c r="F134" s="500">
        <v>3000.0</v>
      </c>
      <c r="G134" s="500"/>
      <c r="H134" s="501">
        <v>1415268.72</v>
      </c>
      <c r="I134" s="501" t="s">
        <v>728</v>
      </c>
      <c r="J134" s="491"/>
      <c r="K134" s="491"/>
      <c r="L134" s="491"/>
      <c r="M134" s="491"/>
      <c r="N134" s="491"/>
      <c r="O134" s="491"/>
      <c r="P134" s="491"/>
      <c r="Q134" s="491"/>
      <c r="R134" s="491"/>
      <c r="S134" s="491"/>
      <c r="T134" s="491"/>
      <c r="U134" s="491"/>
      <c r="V134" s="491"/>
      <c r="W134" s="491"/>
      <c r="X134" s="491"/>
    </row>
    <row r="135">
      <c r="A135" s="496">
        <v>45147.0</v>
      </c>
      <c r="B135" s="497" t="s">
        <v>732</v>
      </c>
      <c r="C135" s="498" t="s">
        <v>733</v>
      </c>
      <c r="D135" s="498"/>
      <c r="E135" s="499"/>
      <c r="F135" s="500">
        <v>5000.0</v>
      </c>
      <c r="G135" s="500"/>
      <c r="H135" s="501">
        <v>1410268.72</v>
      </c>
      <c r="I135" s="501"/>
      <c r="J135" s="491"/>
      <c r="K135" s="491"/>
      <c r="L135" s="491"/>
      <c r="M135" s="491"/>
      <c r="N135" s="491"/>
      <c r="O135" s="491"/>
      <c r="P135" s="491"/>
      <c r="Q135" s="491"/>
      <c r="R135" s="491"/>
      <c r="S135" s="491"/>
      <c r="T135" s="491"/>
      <c r="U135" s="491"/>
      <c r="V135" s="491"/>
      <c r="W135" s="491"/>
      <c r="X135" s="491"/>
    </row>
    <row r="136">
      <c r="A136" s="492">
        <v>45148.0</v>
      </c>
      <c r="B136" s="493" t="s">
        <v>734</v>
      </c>
      <c r="C136" s="484" t="s">
        <v>735</v>
      </c>
      <c r="D136" s="484"/>
      <c r="E136" s="485"/>
      <c r="F136" s="495">
        <v>28.0</v>
      </c>
      <c r="G136" s="487"/>
      <c r="H136" s="494">
        <v>1410240.72</v>
      </c>
      <c r="I136" s="494"/>
      <c r="J136" s="491"/>
      <c r="K136" s="491"/>
      <c r="L136" s="491"/>
      <c r="M136" s="491"/>
      <c r="N136" s="491"/>
      <c r="O136" s="491"/>
      <c r="P136" s="491"/>
      <c r="Q136" s="491"/>
      <c r="R136" s="491"/>
      <c r="S136" s="491"/>
      <c r="T136" s="491"/>
      <c r="U136" s="491"/>
      <c r="V136" s="491"/>
      <c r="W136" s="491"/>
      <c r="X136" s="491"/>
    </row>
    <row r="137">
      <c r="A137" s="492">
        <v>45148.0</v>
      </c>
      <c r="B137" s="493" t="s">
        <v>734</v>
      </c>
      <c r="C137" s="484" t="s">
        <v>736</v>
      </c>
      <c r="D137" s="484"/>
      <c r="E137" s="484"/>
      <c r="F137" s="487">
        <v>75.0</v>
      </c>
      <c r="G137" s="487"/>
      <c r="H137" s="494">
        <v>1410165.72</v>
      </c>
      <c r="I137" s="494"/>
      <c r="J137" s="491"/>
      <c r="K137" s="491"/>
      <c r="L137" s="491"/>
      <c r="M137" s="491"/>
      <c r="N137" s="491"/>
      <c r="O137" s="491"/>
      <c r="P137" s="491"/>
      <c r="Q137" s="491"/>
      <c r="R137" s="491"/>
      <c r="S137" s="491"/>
      <c r="T137" s="491"/>
      <c r="U137" s="491"/>
      <c r="V137" s="491"/>
      <c r="W137" s="491"/>
      <c r="X137" s="491"/>
    </row>
    <row r="138">
      <c r="A138" s="492">
        <v>45148.0</v>
      </c>
      <c r="B138" s="493" t="s">
        <v>734</v>
      </c>
      <c r="C138" s="484" t="s">
        <v>736</v>
      </c>
      <c r="D138" s="484"/>
      <c r="E138" s="485"/>
      <c r="F138" s="487">
        <v>75.0</v>
      </c>
      <c r="G138" s="487"/>
      <c r="H138" s="494">
        <v>1410090.72</v>
      </c>
      <c r="I138" s="494"/>
      <c r="J138" s="491"/>
      <c r="K138" s="491"/>
      <c r="L138" s="491"/>
      <c r="M138" s="491"/>
      <c r="N138" s="491"/>
      <c r="O138" s="491"/>
      <c r="P138" s="491"/>
      <c r="Q138" s="491"/>
      <c r="R138" s="491"/>
      <c r="S138" s="491"/>
      <c r="T138" s="491"/>
      <c r="U138" s="491"/>
      <c r="V138" s="491"/>
      <c r="W138" s="491"/>
      <c r="X138" s="491"/>
    </row>
    <row r="139">
      <c r="A139" s="492">
        <v>45148.0</v>
      </c>
      <c r="B139" s="493" t="s">
        <v>734</v>
      </c>
      <c r="C139" s="484" t="s">
        <v>735</v>
      </c>
      <c r="D139" s="484"/>
      <c r="E139" s="485"/>
      <c r="F139" s="487">
        <v>28.0</v>
      </c>
      <c r="G139" s="487"/>
      <c r="H139" s="494">
        <v>1410062.72</v>
      </c>
      <c r="I139" s="494"/>
      <c r="J139" s="491"/>
      <c r="K139" s="491"/>
      <c r="L139" s="491"/>
      <c r="M139" s="491"/>
      <c r="N139" s="491"/>
      <c r="O139" s="491"/>
      <c r="P139" s="491"/>
      <c r="Q139" s="491"/>
      <c r="R139" s="491"/>
      <c r="S139" s="491"/>
      <c r="T139" s="491"/>
      <c r="U139" s="491"/>
      <c r="V139" s="491"/>
      <c r="W139" s="491"/>
      <c r="X139" s="491"/>
    </row>
    <row r="140">
      <c r="A140" s="492">
        <v>45148.0</v>
      </c>
      <c r="B140" s="493" t="s">
        <v>734</v>
      </c>
      <c r="C140" s="484" t="s">
        <v>737</v>
      </c>
      <c r="D140" s="484"/>
      <c r="E140" s="484"/>
      <c r="F140" s="495">
        <v>64.0</v>
      </c>
      <c r="G140" s="487"/>
      <c r="H140" s="494">
        <v>1409998.72</v>
      </c>
      <c r="I140" s="494"/>
      <c r="J140" s="491"/>
      <c r="K140" s="491"/>
      <c r="L140" s="491"/>
      <c r="M140" s="491"/>
      <c r="N140" s="491"/>
      <c r="O140" s="491"/>
      <c r="P140" s="491"/>
      <c r="Q140" s="491"/>
      <c r="R140" s="491"/>
      <c r="S140" s="491"/>
      <c r="T140" s="491"/>
      <c r="U140" s="491"/>
      <c r="V140" s="491"/>
      <c r="W140" s="491"/>
      <c r="X140" s="491"/>
    </row>
    <row r="141">
      <c r="A141" s="492">
        <v>45148.0</v>
      </c>
      <c r="B141" s="493" t="s">
        <v>734</v>
      </c>
      <c r="C141" s="484" t="s">
        <v>738</v>
      </c>
      <c r="D141" s="485"/>
      <c r="E141" s="485"/>
      <c r="F141" s="495">
        <v>196.8</v>
      </c>
      <c r="G141" s="487"/>
      <c r="H141" s="494">
        <v>1409801.92</v>
      </c>
      <c r="I141" s="494"/>
      <c r="J141" s="491"/>
      <c r="K141" s="491"/>
      <c r="L141" s="491"/>
      <c r="M141" s="491"/>
      <c r="N141" s="491"/>
      <c r="O141" s="491"/>
      <c r="P141" s="491"/>
      <c r="Q141" s="491"/>
      <c r="R141" s="491"/>
      <c r="S141" s="491"/>
      <c r="T141" s="491"/>
      <c r="U141" s="491"/>
      <c r="V141" s="491"/>
      <c r="W141" s="491"/>
      <c r="X141" s="491"/>
    </row>
    <row r="142">
      <c r="A142" s="492">
        <v>45148.0</v>
      </c>
      <c r="B142" s="493" t="s">
        <v>734</v>
      </c>
      <c r="C142" s="484" t="s">
        <v>739</v>
      </c>
      <c r="D142" s="485"/>
      <c r="E142" s="485"/>
      <c r="F142" s="487">
        <v>90.0</v>
      </c>
      <c r="G142" s="487"/>
      <c r="H142" s="494">
        <v>1409711.92</v>
      </c>
      <c r="I142" s="494"/>
      <c r="J142" s="491"/>
      <c r="K142" s="491"/>
      <c r="L142" s="491"/>
      <c r="M142" s="491"/>
      <c r="N142" s="491"/>
      <c r="O142" s="491"/>
      <c r="P142" s="491"/>
      <c r="Q142" s="491"/>
      <c r="R142" s="491"/>
      <c r="S142" s="491"/>
      <c r="T142" s="491"/>
      <c r="U142" s="491"/>
      <c r="V142" s="491"/>
      <c r="W142" s="491"/>
      <c r="X142" s="491"/>
    </row>
    <row r="143">
      <c r="A143" s="492">
        <v>45148.0</v>
      </c>
      <c r="B143" s="493" t="s">
        <v>734</v>
      </c>
      <c r="C143" s="484" t="s">
        <v>740</v>
      </c>
      <c r="D143" s="484"/>
      <c r="E143" s="485"/>
      <c r="F143" s="487">
        <v>27.53</v>
      </c>
      <c r="G143" s="487"/>
      <c r="H143" s="494">
        <v>1409684.39</v>
      </c>
      <c r="I143" s="494"/>
      <c r="J143" s="491"/>
      <c r="K143" s="491"/>
      <c r="L143" s="491"/>
      <c r="M143" s="491"/>
      <c r="N143" s="491"/>
      <c r="O143" s="491"/>
      <c r="P143" s="491"/>
      <c r="Q143" s="491"/>
      <c r="R143" s="491"/>
      <c r="S143" s="491"/>
      <c r="T143" s="491"/>
      <c r="U143" s="491"/>
      <c r="V143" s="491"/>
      <c r="W143" s="491"/>
      <c r="X143" s="491"/>
    </row>
    <row r="144">
      <c r="A144" s="492">
        <v>45148.0</v>
      </c>
      <c r="B144" s="493" t="s">
        <v>734</v>
      </c>
      <c r="C144" s="484" t="s">
        <v>741</v>
      </c>
      <c r="D144" s="484"/>
      <c r="E144" s="485"/>
      <c r="F144" s="487">
        <v>239.0</v>
      </c>
      <c r="G144" s="487"/>
      <c r="H144" s="494">
        <v>1409445.39</v>
      </c>
      <c r="I144" s="494"/>
      <c r="J144" s="491"/>
      <c r="K144" s="491"/>
      <c r="L144" s="491"/>
      <c r="M144" s="491"/>
      <c r="N144" s="491"/>
      <c r="O144" s="491"/>
      <c r="P144" s="491"/>
      <c r="Q144" s="491"/>
      <c r="R144" s="491"/>
      <c r="S144" s="491"/>
      <c r="T144" s="491"/>
      <c r="U144" s="491"/>
      <c r="V144" s="491"/>
      <c r="W144" s="491"/>
      <c r="X144" s="491"/>
    </row>
    <row r="145">
      <c r="A145" s="492">
        <v>45148.0</v>
      </c>
      <c r="B145" s="493" t="s">
        <v>742</v>
      </c>
      <c r="C145" s="484" t="s">
        <v>743</v>
      </c>
      <c r="D145" s="484"/>
      <c r="E145" s="485"/>
      <c r="F145" s="487">
        <v>33156.21</v>
      </c>
      <c r="G145" s="487"/>
      <c r="H145" s="494">
        <v>1376289.18</v>
      </c>
      <c r="I145" s="494"/>
      <c r="J145" s="491"/>
      <c r="K145" s="491"/>
      <c r="L145" s="491"/>
      <c r="M145" s="491"/>
      <c r="N145" s="491"/>
      <c r="O145" s="491"/>
      <c r="P145" s="491"/>
      <c r="Q145" s="491"/>
      <c r="R145" s="491"/>
      <c r="S145" s="491"/>
      <c r="T145" s="491"/>
      <c r="U145" s="491"/>
      <c r="V145" s="491"/>
      <c r="W145" s="491"/>
      <c r="X145" s="491"/>
    </row>
    <row r="146">
      <c r="A146" s="492">
        <v>45149.0</v>
      </c>
      <c r="B146" s="493" t="s">
        <v>744</v>
      </c>
      <c r="C146" s="484" t="s">
        <v>745</v>
      </c>
      <c r="D146" s="484"/>
      <c r="E146" s="484"/>
      <c r="F146" s="487">
        <v>250.65</v>
      </c>
      <c r="G146" s="487"/>
      <c r="H146" s="494">
        <v>1376038.53</v>
      </c>
      <c r="I146" s="494"/>
      <c r="J146" s="491"/>
      <c r="K146" s="491"/>
      <c r="L146" s="491"/>
      <c r="M146" s="491"/>
      <c r="N146" s="491"/>
      <c r="O146" s="491"/>
      <c r="P146" s="491"/>
      <c r="Q146" s="491"/>
      <c r="R146" s="491"/>
      <c r="S146" s="491"/>
      <c r="T146" s="491"/>
      <c r="U146" s="491"/>
      <c r="V146" s="491"/>
      <c r="W146" s="491"/>
      <c r="X146" s="491"/>
    </row>
    <row r="147">
      <c r="A147" s="492">
        <v>45149.0</v>
      </c>
      <c r="B147" s="493" t="s">
        <v>744</v>
      </c>
      <c r="C147" s="484" t="s">
        <v>746</v>
      </c>
      <c r="D147" s="484"/>
      <c r="E147" s="484"/>
      <c r="F147" s="487">
        <v>244.9</v>
      </c>
      <c r="G147" s="487"/>
      <c r="H147" s="494">
        <v>1375793.63</v>
      </c>
      <c r="I147" s="494"/>
      <c r="J147" s="491"/>
      <c r="K147" s="491"/>
      <c r="L147" s="491"/>
      <c r="M147" s="491"/>
      <c r="N147" s="491"/>
      <c r="O147" s="491"/>
      <c r="P147" s="491"/>
      <c r="Q147" s="491"/>
      <c r="R147" s="491"/>
      <c r="S147" s="491"/>
      <c r="T147" s="491"/>
      <c r="U147" s="491"/>
      <c r="V147" s="491"/>
      <c r="W147" s="491"/>
      <c r="X147" s="491"/>
    </row>
    <row r="148">
      <c r="A148" s="492">
        <v>45149.0</v>
      </c>
      <c r="B148" s="493" t="s">
        <v>744</v>
      </c>
      <c r="C148" s="484" t="s">
        <v>747</v>
      </c>
      <c r="D148" s="484"/>
      <c r="E148" s="484"/>
      <c r="F148" s="487">
        <v>314.54</v>
      </c>
      <c r="G148" s="487"/>
      <c r="H148" s="494">
        <v>1375479.09</v>
      </c>
      <c r="I148" s="494"/>
      <c r="J148" s="491"/>
      <c r="K148" s="491"/>
      <c r="L148" s="491"/>
      <c r="M148" s="491"/>
      <c r="N148" s="491"/>
      <c r="O148" s="491"/>
      <c r="P148" s="491"/>
      <c r="Q148" s="491"/>
      <c r="R148" s="491"/>
      <c r="S148" s="491"/>
      <c r="T148" s="491"/>
      <c r="U148" s="491"/>
      <c r="V148" s="491"/>
      <c r="W148" s="491"/>
      <c r="X148" s="491"/>
    </row>
    <row r="149">
      <c r="A149" s="492">
        <v>45149.0</v>
      </c>
      <c r="B149" s="493" t="s">
        <v>744</v>
      </c>
      <c r="C149" s="484" t="s">
        <v>748</v>
      </c>
      <c r="D149" s="484"/>
      <c r="E149" s="484"/>
      <c r="F149" s="487">
        <v>162.17</v>
      </c>
      <c r="G149" s="487"/>
      <c r="H149" s="494">
        <v>1375316.92</v>
      </c>
      <c r="I149" s="494"/>
      <c r="J149" s="491"/>
      <c r="K149" s="491"/>
      <c r="L149" s="491"/>
      <c r="M149" s="491"/>
      <c r="N149" s="491"/>
      <c r="O149" s="491"/>
      <c r="P149" s="491"/>
      <c r="Q149" s="491"/>
      <c r="R149" s="491"/>
      <c r="S149" s="491"/>
      <c r="T149" s="491"/>
      <c r="U149" s="491"/>
      <c r="V149" s="491"/>
      <c r="W149" s="491"/>
      <c r="X149" s="491"/>
    </row>
    <row r="150">
      <c r="A150" s="492">
        <v>45149.0</v>
      </c>
      <c r="B150" s="493" t="s">
        <v>744</v>
      </c>
      <c r="C150" s="484" t="s">
        <v>749</v>
      </c>
      <c r="D150" s="484"/>
      <c r="E150" s="484"/>
      <c r="F150" s="487">
        <v>249.0</v>
      </c>
      <c r="G150" s="487"/>
      <c r="H150" s="494">
        <v>1375067.92</v>
      </c>
      <c r="I150" s="494"/>
      <c r="J150" s="491"/>
      <c r="K150" s="491"/>
      <c r="L150" s="491"/>
      <c r="M150" s="491"/>
      <c r="N150" s="491"/>
      <c r="O150" s="491"/>
      <c r="P150" s="491"/>
      <c r="Q150" s="491"/>
      <c r="R150" s="491"/>
      <c r="S150" s="491"/>
      <c r="T150" s="491"/>
      <c r="U150" s="491"/>
      <c r="V150" s="491"/>
      <c r="W150" s="491"/>
      <c r="X150" s="491"/>
    </row>
    <row r="151">
      <c r="A151" s="492">
        <v>45149.0</v>
      </c>
      <c r="B151" s="493" t="s">
        <v>744</v>
      </c>
      <c r="C151" s="484" t="s">
        <v>750</v>
      </c>
      <c r="D151" s="484"/>
      <c r="E151" s="484"/>
      <c r="F151" s="487">
        <v>53.68</v>
      </c>
      <c r="G151" s="487"/>
      <c r="H151" s="494">
        <v>1375014.24</v>
      </c>
      <c r="I151" s="494"/>
      <c r="J151" s="491"/>
      <c r="K151" s="491"/>
      <c r="L151" s="491"/>
      <c r="M151" s="491"/>
      <c r="N151" s="491"/>
      <c r="O151" s="491"/>
      <c r="P151" s="491"/>
      <c r="Q151" s="491"/>
      <c r="R151" s="491"/>
      <c r="S151" s="491"/>
      <c r="T151" s="491"/>
      <c r="U151" s="491"/>
      <c r="V151" s="491"/>
      <c r="W151" s="491"/>
      <c r="X151" s="491"/>
    </row>
    <row r="152">
      <c r="A152" s="492">
        <v>45149.0</v>
      </c>
      <c r="B152" s="493" t="s">
        <v>744</v>
      </c>
      <c r="C152" s="484" t="s">
        <v>751</v>
      </c>
      <c r="D152" s="484"/>
      <c r="E152" s="485"/>
      <c r="F152" s="487">
        <v>220.93</v>
      </c>
      <c r="G152" s="487"/>
      <c r="H152" s="494">
        <v>1374793.31</v>
      </c>
      <c r="I152" s="494"/>
      <c r="J152" s="491"/>
      <c r="K152" s="491"/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</row>
    <row r="153">
      <c r="A153" s="492">
        <v>45149.0</v>
      </c>
      <c r="B153" s="493" t="s">
        <v>744</v>
      </c>
      <c r="C153" s="484" t="s">
        <v>702</v>
      </c>
      <c r="D153" s="484"/>
      <c r="E153" s="484"/>
      <c r="F153" s="487">
        <v>12.06</v>
      </c>
      <c r="G153" s="487"/>
      <c r="H153" s="494">
        <v>1374781.25</v>
      </c>
      <c r="I153" s="494"/>
      <c r="J153" s="491"/>
      <c r="K153" s="491"/>
      <c r="L153" s="491"/>
      <c r="M153" s="491"/>
      <c r="N153" s="491"/>
      <c r="O153" s="491"/>
      <c r="P153" s="491"/>
      <c r="Q153" s="491"/>
      <c r="R153" s="491"/>
      <c r="S153" s="491"/>
      <c r="T153" s="491"/>
      <c r="U153" s="491"/>
      <c r="V153" s="491"/>
      <c r="W153" s="491"/>
      <c r="X153" s="491"/>
    </row>
    <row r="154">
      <c r="A154" s="492">
        <v>45149.0</v>
      </c>
      <c r="B154" s="493" t="s">
        <v>744</v>
      </c>
      <c r="C154" s="484" t="s">
        <v>701</v>
      </c>
      <c r="D154" s="484"/>
      <c r="E154" s="484"/>
      <c r="F154" s="487">
        <v>99.0</v>
      </c>
      <c r="G154" s="487"/>
      <c r="H154" s="494">
        <v>1374682.25</v>
      </c>
      <c r="I154" s="494"/>
      <c r="J154" s="491"/>
      <c r="K154" s="491"/>
      <c r="L154" s="491"/>
      <c r="M154" s="491"/>
      <c r="N154" s="491"/>
      <c r="O154" s="491"/>
      <c r="P154" s="491"/>
      <c r="Q154" s="491"/>
      <c r="R154" s="491"/>
      <c r="S154" s="491"/>
      <c r="T154" s="491"/>
      <c r="U154" s="491"/>
      <c r="V154" s="491"/>
      <c r="W154" s="491"/>
      <c r="X154" s="491"/>
    </row>
    <row r="155">
      <c r="A155" s="492">
        <v>45149.0</v>
      </c>
      <c r="B155" s="493" t="s">
        <v>744</v>
      </c>
      <c r="C155" s="484" t="s">
        <v>701</v>
      </c>
      <c r="D155" s="484"/>
      <c r="E155" s="484"/>
      <c r="F155" s="487">
        <v>99.0</v>
      </c>
      <c r="G155" s="487"/>
      <c r="H155" s="494">
        <v>1374583.25</v>
      </c>
      <c r="I155" s="494"/>
      <c r="J155" s="491"/>
      <c r="K155" s="491"/>
      <c r="L155" s="491"/>
      <c r="M155" s="491"/>
      <c r="N155" s="491"/>
      <c r="O155" s="491"/>
      <c r="P155" s="491"/>
      <c r="Q155" s="491"/>
      <c r="R155" s="491"/>
      <c r="S155" s="491"/>
      <c r="T155" s="491"/>
      <c r="U155" s="491"/>
      <c r="V155" s="491"/>
      <c r="W155" s="491"/>
      <c r="X155" s="491"/>
    </row>
    <row r="156">
      <c r="A156" s="492">
        <v>45149.0</v>
      </c>
      <c r="B156" s="493" t="s">
        <v>744</v>
      </c>
      <c r="C156" s="484" t="s">
        <v>701</v>
      </c>
      <c r="D156" s="484"/>
      <c r="E156" s="484"/>
      <c r="F156" s="487">
        <v>99.0</v>
      </c>
      <c r="G156" s="487"/>
      <c r="H156" s="494">
        <v>1374484.25</v>
      </c>
      <c r="I156" s="494"/>
      <c r="J156" s="491"/>
      <c r="K156" s="491"/>
      <c r="L156" s="491"/>
      <c r="M156" s="491"/>
      <c r="N156" s="491"/>
      <c r="O156" s="491"/>
      <c r="P156" s="491"/>
      <c r="Q156" s="491"/>
      <c r="R156" s="491"/>
      <c r="S156" s="491"/>
      <c r="T156" s="491"/>
      <c r="U156" s="491"/>
      <c r="V156" s="491"/>
      <c r="W156" s="491"/>
      <c r="X156" s="491"/>
    </row>
    <row r="157">
      <c r="A157" s="492">
        <v>45149.0</v>
      </c>
      <c r="B157" s="493" t="s">
        <v>744</v>
      </c>
      <c r="C157" s="484" t="s">
        <v>752</v>
      </c>
      <c r="D157" s="484"/>
      <c r="E157" s="484"/>
      <c r="F157" s="487">
        <v>1247.28</v>
      </c>
      <c r="G157" s="487"/>
      <c r="H157" s="494">
        <v>1373236.97</v>
      </c>
      <c r="I157" s="494"/>
      <c r="J157" s="491"/>
      <c r="K157" s="491"/>
      <c r="L157" s="491"/>
      <c r="M157" s="491"/>
      <c r="N157" s="491"/>
      <c r="O157" s="491"/>
      <c r="P157" s="491"/>
      <c r="Q157" s="491"/>
      <c r="R157" s="491"/>
      <c r="S157" s="491"/>
      <c r="T157" s="491"/>
      <c r="U157" s="491"/>
      <c r="V157" s="491"/>
      <c r="W157" s="491"/>
      <c r="X157" s="491"/>
    </row>
    <row r="158">
      <c r="A158" s="492">
        <v>45149.0</v>
      </c>
      <c r="B158" s="493" t="s">
        <v>744</v>
      </c>
      <c r="C158" s="484" t="s">
        <v>753</v>
      </c>
      <c r="D158" s="484"/>
      <c r="E158" s="485"/>
      <c r="F158" s="487">
        <v>1199.2</v>
      </c>
      <c r="G158" s="487"/>
      <c r="H158" s="494">
        <v>1372037.77</v>
      </c>
      <c r="I158" s="494"/>
      <c r="J158" s="491"/>
      <c r="K158" s="491"/>
      <c r="L158" s="491"/>
      <c r="M158" s="491"/>
      <c r="N158" s="491"/>
      <c r="O158" s="491"/>
      <c r="P158" s="491"/>
      <c r="Q158" s="491"/>
      <c r="R158" s="491"/>
      <c r="S158" s="491"/>
      <c r="T158" s="491"/>
      <c r="U158" s="491"/>
      <c r="V158" s="491"/>
      <c r="W158" s="491"/>
      <c r="X158" s="491"/>
    </row>
    <row r="159">
      <c r="A159" s="492">
        <v>45152.0</v>
      </c>
      <c r="B159" s="493" t="s">
        <v>754</v>
      </c>
      <c r="C159" s="484" t="s">
        <v>755</v>
      </c>
      <c r="D159" s="484"/>
      <c r="E159" s="485"/>
      <c r="F159" s="487">
        <v>4437.5</v>
      </c>
      <c r="G159" s="487"/>
      <c r="H159" s="494">
        <v>1367600.27</v>
      </c>
      <c r="I159" s="494"/>
      <c r="J159" s="491"/>
      <c r="K159" s="491"/>
      <c r="L159" s="491"/>
      <c r="M159" s="491"/>
      <c r="N159" s="491"/>
      <c r="O159" s="491"/>
      <c r="P159" s="491"/>
      <c r="Q159" s="491"/>
      <c r="R159" s="491"/>
      <c r="S159" s="491"/>
      <c r="T159" s="491"/>
      <c r="U159" s="491"/>
      <c r="V159" s="491"/>
      <c r="W159" s="491"/>
      <c r="X159" s="491"/>
    </row>
    <row r="160">
      <c r="A160" s="492">
        <v>45152.0</v>
      </c>
      <c r="B160" s="493" t="s">
        <v>754</v>
      </c>
      <c r="C160" s="484" t="s">
        <v>756</v>
      </c>
      <c r="D160" s="484"/>
      <c r="E160" s="484"/>
      <c r="F160" s="487">
        <v>855.0</v>
      </c>
      <c r="G160" s="487"/>
      <c r="H160" s="494">
        <v>1366745.27</v>
      </c>
      <c r="I160" s="494"/>
      <c r="J160" s="491"/>
      <c r="K160" s="491"/>
      <c r="L160" s="491"/>
      <c r="M160" s="491"/>
      <c r="N160" s="491"/>
      <c r="O160" s="491"/>
      <c r="P160" s="491"/>
      <c r="Q160" s="491"/>
      <c r="R160" s="491"/>
      <c r="S160" s="491"/>
      <c r="T160" s="491"/>
      <c r="U160" s="491"/>
      <c r="V160" s="491"/>
      <c r="W160" s="491"/>
      <c r="X160" s="491"/>
    </row>
    <row r="161">
      <c r="A161" s="492">
        <v>45152.0</v>
      </c>
      <c r="B161" s="493" t="s">
        <v>754</v>
      </c>
      <c r="C161" s="484" t="s">
        <v>757</v>
      </c>
      <c r="D161" s="484"/>
      <c r="E161" s="484"/>
      <c r="F161" s="487">
        <v>88948.34</v>
      </c>
      <c r="G161" s="487"/>
      <c r="H161" s="494">
        <v>1277796.93</v>
      </c>
      <c r="I161" s="494"/>
      <c r="J161" s="491"/>
      <c r="K161" s="491"/>
      <c r="L161" s="491"/>
      <c r="M161" s="491"/>
      <c r="N161" s="491"/>
      <c r="O161" s="491"/>
      <c r="P161" s="491"/>
      <c r="Q161" s="491"/>
      <c r="R161" s="491"/>
      <c r="S161" s="491"/>
      <c r="T161" s="491"/>
      <c r="U161" s="491"/>
      <c r="V161" s="491"/>
      <c r="W161" s="491"/>
      <c r="X161" s="491"/>
    </row>
    <row r="162">
      <c r="A162" s="492">
        <v>45152.0</v>
      </c>
      <c r="B162" s="493" t="s">
        <v>754</v>
      </c>
      <c r="C162" s="484" t="s">
        <v>758</v>
      </c>
      <c r="D162" s="484"/>
      <c r="E162" s="484"/>
      <c r="F162" s="495">
        <v>200.0</v>
      </c>
      <c r="G162" s="487"/>
      <c r="H162" s="494">
        <v>1277596.93</v>
      </c>
      <c r="I162" s="494"/>
      <c r="J162" s="491"/>
      <c r="K162" s="491"/>
      <c r="L162" s="491"/>
      <c r="M162" s="491"/>
      <c r="N162" s="491"/>
      <c r="O162" s="491"/>
      <c r="P162" s="491"/>
      <c r="Q162" s="491"/>
      <c r="R162" s="491"/>
      <c r="S162" s="491"/>
      <c r="T162" s="491"/>
      <c r="U162" s="491"/>
      <c r="V162" s="491"/>
      <c r="W162" s="491"/>
      <c r="X162" s="491"/>
    </row>
    <row r="163">
      <c r="A163" s="492">
        <v>45152.0</v>
      </c>
      <c r="B163" s="493" t="s">
        <v>754</v>
      </c>
      <c r="C163" s="484" t="s">
        <v>758</v>
      </c>
      <c r="D163" s="484"/>
      <c r="E163" s="485"/>
      <c r="F163" s="495">
        <v>625.0</v>
      </c>
      <c r="G163" s="487"/>
      <c r="H163" s="494">
        <v>1276971.93</v>
      </c>
      <c r="I163" s="494"/>
      <c r="J163" s="491"/>
      <c r="K163" s="491"/>
      <c r="L163" s="491"/>
      <c r="M163" s="491"/>
      <c r="N163" s="491"/>
      <c r="O163" s="491"/>
      <c r="P163" s="491"/>
      <c r="Q163" s="491"/>
      <c r="R163" s="491"/>
      <c r="S163" s="491"/>
      <c r="T163" s="491"/>
      <c r="U163" s="491"/>
      <c r="V163" s="491"/>
      <c r="W163" s="491"/>
      <c r="X163" s="491"/>
    </row>
    <row r="164">
      <c r="A164" s="492">
        <v>45152.0</v>
      </c>
      <c r="B164" s="493" t="s">
        <v>754</v>
      </c>
      <c r="C164" s="484" t="s">
        <v>759</v>
      </c>
      <c r="D164" s="484"/>
      <c r="E164" s="484"/>
      <c r="F164" s="487">
        <v>3410.0</v>
      </c>
      <c r="G164" s="487"/>
      <c r="H164" s="494">
        <v>1273561.93</v>
      </c>
      <c r="I164" s="494"/>
      <c r="J164" s="491"/>
      <c r="K164" s="491"/>
      <c r="L164" s="491"/>
      <c r="M164" s="491"/>
      <c r="N164" s="491"/>
      <c r="O164" s="491"/>
      <c r="P164" s="491"/>
      <c r="Q164" s="491"/>
      <c r="R164" s="491"/>
      <c r="S164" s="491"/>
      <c r="T164" s="491"/>
      <c r="U164" s="491"/>
      <c r="V164" s="491"/>
      <c r="W164" s="491"/>
      <c r="X164" s="491"/>
    </row>
    <row r="165">
      <c r="A165" s="492">
        <v>45152.0</v>
      </c>
      <c r="B165" s="493" t="s">
        <v>754</v>
      </c>
      <c r="C165" s="484" t="s">
        <v>760</v>
      </c>
      <c r="D165" s="484"/>
      <c r="E165" s="484"/>
      <c r="F165" s="487">
        <v>575.0</v>
      </c>
      <c r="G165" s="487"/>
      <c r="H165" s="494">
        <v>1272986.93</v>
      </c>
      <c r="I165" s="494"/>
      <c r="J165" s="491"/>
      <c r="K165" s="491"/>
      <c r="L165" s="491"/>
      <c r="M165" s="491"/>
      <c r="N165" s="491"/>
      <c r="O165" s="491"/>
      <c r="P165" s="491"/>
      <c r="Q165" s="491"/>
      <c r="R165" s="491"/>
      <c r="S165" s="491"/>
      <c r="T165" s="491"/>
      <c r="U165" s="491"/>
      <c r="V165" s="491"/>
      <c r="W165" s="491"/>
      <c r="X165" s="491"/>
    </row>
    <row r="166">
      <c r="A166" s="492">
        <v>45152.0</v>
      </c>
      <c r="B166" s="493" t="s">
        <v>754</v>
      </c>
      <c r="C166" s="484" t="s">
        <v>761</v>
      </c>
      <c r="D166" s="484"/>
      <c r="E166" s="484"/>
      <c r="F166" s="487">
        <v>9185.75</v>
      </c>
      <c r="G166" s="487"/>
      <c r="H166" s="494">
        <v>1263801.18</v>
      </c>
      <c r="I166" s="494"/>
      <c r="J166" s="491"/>
      <c r="K166" s="491"/>
      <c r="L166" s="491"/>
      <c r="M166" s="491"/>
      <c r="N166" s="491"/>
      <c r="O166" s="491"/>
      <c r="P166" s="491"/>
      <c r="Q166" s="491"/>
      <c r="R166" s="491"/>
      <c r="S166" s="491"/>
      <c r="T166" s="491"/>
      <c r="U166" s="491"/>
      <c r="V166" s="491"/>
      <c r="W166" s="491"/>
      <c r="X166" s="491"/>
    </row>
    <row r="167">
      <c r="A167" s="492">
        <v>45152.0</v>
      </c>
      <c r="B167" s="493" t="s">
        <v>754</v>
      </c>
      <c r="C167" s="484" t="s">
        <v>762</v>
      </c>
      <c r="D167" s="484"/>
      <c r="E167" s="484"/>
      <c r="F167" s="487">
        <v>800.0</v>
      </c>
      <c r="G167" s="487"/>
      <c r="H167" s="494">
        <v>1263001.18</v>
      </c>
      <c r="I167" s="494"/>
      <c r="J167" s="491"/>
      <c r="K167" s="491"/>
      <c r="L167" s="491"/>
      <c r="M167" s="491"/>
      <c r="N167" s="491"/>
      <c r="O167" s="491"/>
      <c r="P167" s="491"/>
      <c r="Q167" s="491"/>
      <c r="R167" s="491"/>
      <c r="S167" s="491"/>
      <c r="T167" s="491"/>
      <c r="U167" s="491"/>
      <c r="V167" s="491"/>
      <c r="W167" s="491"/>
      <c r="X167" s="491"/>
    </row>
    <row r="168">
      <c r="A168" s="492">
        <v>45152.0</v>
      </c>
      <c r="B168" s="493" t="s">
        <v>754</v>
      </c>
      <c r="C168" s="484" t="s">
        <v>763</v>
      </c>
      <c r="D168" s="484"/>
      <c r="E168" s="484"/>
      <c r="F168" s="487">
        <v>47396.95</v>
      </c>
      <c r="G168" s="487"/>
      <c r="H168" s="494">
        <v>1215604.23</v>
      </c>
      <c r="I168" s="494"/>
      <c r="J168" s="491"/>
      <c r="K168" s="491"/>
      <c r="L168" s="491"/>
      <c r="M168" s="491"/>
      <c r="N168" s="491"/>
      <c r="O168" s="491"/>
      <c r="P168" s="491"/>
      <c r="Q168" s="491"/>
      <c r="R168" s="491"/>
      <c r="S168" s="491"/>
      <c r="T168" s="491"/>
      <c r="U168" s="491"/>
      <c r="V168" s="491"/>
      <c r="W168" s="491"/>
      <c r="X168" s="491"/>
    </row>
    <row r="169">
      <c r="A169" s="492">
        <v>45152.0</v>
      </c>
      <c r="B169" s="493" t="s">
        <v>754</v>
      </c>
      <c r="C169" s="484" t="s">
        <v>613</v>
      </c>
      <c r="D169" s="484"/>
      <c r="E169" s="484"/>
      <c r="F169" s="487">
        <v>24349.0</v>
      </c>
      <c r="G169" s="487"/>
      <c r="H169" s="494">
        <v>1191255.23</v>
      </c>
      <c r="I169" s="494"/>
      <c r="J169" s="491"/>
      <c r="K169" s="491"/>
      <c r="L169" s="491"/>
      <c r="M169" s="491"/>
      <c r="N169" s="491"/>
      <c r="O169" s="491"/>
      <c r="P169" s="491"/>
      <c r="Q169" s="491"/>
      <c r="R169" s="491"/>
      <c r="S169" s="491"/>
      <c r="T169" s="491"/>
      <c r="U169" s="491"/>
      <c r="V169" s="491"/>
      <c r="W169" s="491"/>
      <c r="X169" s="491"/>
    </row>
    <row r="170">
      <c r="A170" s="496">
        <v>45152.0</v>
      </c>
      <c r="B170" s="497" t="s">
        <v>754</v>
      </c>
      <c r="C170" s="498" t="s">
        <v>764</v>
      </c>
      <c r="D170" s="498"/>
      <c r="E170" s="498"/>
      <c r="F170" s="500">
        <v>5707.51</v>
      </c>
      <c r="G170" s="500"/>
      <c r="H170" s="501">
        <v>1185547.72</v>
      </c>
      <c r="I170" s="501" t="s">
        <v>728</v>
      </c>
      <c r="J170" s="491"/>
      <c r="K170" s="491"/>
      <c r="L170" s="491"/>
      <c r="M170" s="491"/>
      <c r="N170" s="491"/>
      <c r="O170" s="491"/>
      <c r="P170" s="491"/>
      <c r="Q170" s="491"/>
      <c r="R170" s="491"/>
      <c r="S170" s="491"/>
      <c r="T170" s="491"/>
      <c r="U170" s="491"/>
      <c r="V170" s="491"/>
      <c r="W170" s="491"/>
      <c r="X170" s="491"/>
    </row>
    <row r="171">
      <c r="A171" s="492">
        <v>45152.0</v>
      </c>
      <c r="B171" s="493" t="s">
        <v>754</v>
      </c>
      <c r="C171" s="484" t="s">
        <v>765</v>
      </c>
      <c r="D171" s="484"/>
      <c r="E171" s="484"/>
      <c r="F171" s="487">
        <v>2002.84</v>
      </c>
      <c r="G171" s="487"/>
      <c r="H171" s="494">
        <v>1183544.88</v>
      </c>
      <c r="I171" s="494"/>
      <c r="J171" s="491"/>
      <c r="K171" s="491"/>
      <c r="L171" s="491"/>
      <c r="M171" s="491"/>
      <c r="N171" s="491"/>
      <c r="O171" s="491"/>
      <c r="P171" s="491"/>
      <c r="Q171" s="491"/>
      <c r="R171" s="491"/>
      <c r="S171" s="491"/>
      <c r="T171" s="491"/>
      <c r="U171" s="491"/>
      <c r="V171" s="491"/>
      <c r="W171" s="491"/>
      <c r="X171" s="491"/>
    </row>
    <row r="172">
      <c r="A172" s="492">
        <v>45152.0</v>
      </c>
      <c r="B172" s="493" t="s">
        <v>754</v>
      </c>
      <c r="C172" s="484" t="s">
        <v>766</v>
      </c>
      <c r="D172" s="484"/>
      <c r="E172" s="484"/>
      <c r="F172" s="487">
        <v>500.0</v>
      </c>
      <c r="G172" s="487"/>
      <c r="H172" s="494">
        <v>1183044.88</v>
      </c>
      <c r="I172" s="494"/>
      <c r="J172" s="491"/>
      <c r="K172" s="491"/>
      <c r="L172" s="491"/>
      <c r="M172" s="491"/>
      <c r="N172" s="491"/>
      <c r="O172" s="491"/>
      <c r="P172" s="491"/>
      <c r="Q172" s="491"/>
      <c r="R172" s="491"/>
      <c r="S172" s="491"/>
      <c r="T172" s="491"/>
      <c r="U172" s="491"/>
      <c r="V172" s="491"/>
      <c r="W172" s="491"/>
      <c r="X172" s="491"/>
    </row>
    <row r="173">
      <c r="A173" s="492">
        <v>45152.0</v>
      </c>
      <c r="B173" s="493" t="s">
        <v>754</v>
      </c>
      <c r="C173" s="484" t="s">
        <v>767</v>
      </c>
      <c r="D173" s="484"/>
      <c r="E173" s="484"/>
      <c r="F173" s="487">
        <v>1600.0</v>
      </c>
      <c r="G173" s="487"/>
      <c r="H173" s="494">
        <v>1181444.88</v>
      </c>
      <c r="I173" s="494"/>
      <c r="J173" s="491"/>
      <c r="K173" s="491"/>
      <c r="L173" s="491"/>
      <c r="M173" s="491"/>
      <c r="N173" s="491"/>
      <c r="O173" s="491"/>
      <c r="P173" s="491"/>
      <c r="Q173" s="491"/>
      <c r="R173" s="491"/>
      <c r="S173" s="491"/>
      <c r="T173" s="491"/>
      <c r="U173" s="491"/>
      <c r="V173" s="491"/>
      <c r="W173" s="491"/>
      <c r="X173" s="491"/>
    </row>
    <row r="174">
      <c r="A174" s="492">
        <v>45152.0</v>
      </c>
      <c r="B174" s="493" t="s">
        <v>754</v>
      </c>
      <c r="C174" s="484" t="s">
        <v>768</v>
      </c>
      <c r="D174" s="484"/>
      <c r="E174" s="484"/>
      <c r="F174" s="487">
        <v>3500.0</v>
      </c>
      <c r="G174" s="487"/>
      <c r="H174" s="494">
        <v>1177944.88</v>
      </c>
      <c r="I174" s="494"/>
      <c r="J174" s="491"/>
      <c r="K174" s="491"/>
      <c r="L174" s="491"/>
      <c r="M174" s="491"/>
      <c r="N174" s="491"/>
      <c r="O174" s="491"/>
      <c r="P174" s="491"/>
      <c r="Q174" s="491"/>
      <c r="R174" s="491"/>
      <c r="S174" s="491"/>
      <c r="T174" s="491"/>
      <c r="U174" s="491"/>
      <c r="V174" s="491"/>
      <c r="W174" s="491"/>
      <c r="X174" s="491"/>
    </row>
    <row r="175">
      <c r="A175" s="492">
        <v>45152.0</v>
      </c>
      <c r="B175" s="493" t="s">
        <v>754</v>
      </c>
      <c r="C175" s="484" t="s">
        <v>769</v>
      </c>
      <c r="D175" s="485"/>
      <c r="E175" s="485"/>
      <c r="F175" s="487">
        <v>2017.59</v>
      </c>
      <c r="G175" s="487"/>
      <c r="H175" s="494">
        <v>1175927.29</v>
      </c>
      <c r="I175" s="494"/>
      <c r="J175" s="491"/>
      <c r="K175" s="491"/>
      <c r="L175" s="491"/>
      <c r="M175" s="491"/>
      <c r="N175" s="491"/>
      <c r="O175" s="491"/>
      <c r="P175" s="491"/>
      <c r="Q175" s="491"/>
      <c r="R175" s="491"/>
      <c r="S175" s="491"/>
      <c r="T175" s="491"/>
      <c r="U175" s="491"/>
      <c r="V175" s="491"/>
      <c r="W175" s="491"/>
      <c r="X175" s="491"/>
    </row>
    <row r="176">
      <c r="A176" s="492">
        <v>45152.0</v>
      </c>
      <c r="B176" s="493" t="s">
        <v>770</v>
      </c>
      <c r="C176" s="484" t="s">
        <v>771</v>
      </c>
      <c r="D176" s="484"/>
      <c r="E176" s="484"/>
      <c r="F176" s="495">
        <v>153.16</v>
      </c>
      <c r="G176" s="487"/>
      <c r="H176" s="494">
        <v>1175774.13</v>
      </c>
      <c r="I176" s="494"/>
      <c r="J176" s="491"/>
      <c r="K176" s="491"/>
      <c r="L176" s="491"/>
      <c r="M176" s="491"/>
      <c r="N176" s="491"/>
      <c r="O176" s="491"/>
      <c r="P176" s="491"/>
      <c r="Q176" s="491"/>
      <c r="R176" s="491"/>
      <c r="S176" s="491"/>
      <c r="T176" s="491"/>
      <c r="U176" s="491"/>
      <c r="V176" s="491"/>
      <c r="W176" s="491"/>
      <c r="X176" s="491"/>
    </row>
    <row r="177">
      <c r="A177" s="492">
        <v>45152.0</v>
      </c>
      <c r="B177" s="493" t="s">
        <v>770</v>
      </c>
      <c r="C177" s="484" t="s">
        <v>771</v>
      </c>
      <c r="D177" s="485"/>
      <c r="E177" s="485"/>
      <c r="F177" s="487">
        <v>172.66</v>
      </c>
      <c r="G177" s="487"/>
      <c r="H177" s="494">
        <v>1175601.47</v>
      </c>
      <c r="I177" s="494"/>
      <c r="J177" s="491"/>
      <c r="K177" s="491"/>
      <c r="L177" s="491"/>
      <c r="M177" s="491"/>
      <c r="N177" s="491"/>
      <c r="O177" s="491"/>
      <c r="P177" s="491"/>
      <c r="Q177" s="491"/>
      <c r="R177" s="491"/>
      <c r="S177" s="491"/>
      <c r="T177" s="491"/>
      <c r="U177" s="491"/>
      <c r="V177" s="491"/>
      <c r="W177" s="491"/>
      <c r="X177" s="491"/>
    </row>
    <row r="178">
      <c r="A178" s="492">
        <v>45152.0</v>
      </c>
      <c r="B178" s="493" t="s">
        <v>770</v>
      </c>
      <c r="C178" s="484" t="s">
        <v>772</v>
      </c>
      <c r="D178" s="484"/>
      <c r="E178" s="484"/>
      <c r="F178" s="487">
        <v>86.5</v>
      </c>
      <c r="G178" s="487"/>
      <c r="H178" s="494">
        <v>1175514.97</v>
      </c>
      <c r="I178" s="494"/>
      <c r="J178" s="491"/>
      <c r="K178" s="491"/>
      <c r="L178" s="491"/>
      <c r="M178" s="491"/>
      <c r="N178" s="491"/>
      <c r="O178" s="491"/>
      <c r="P178" s="491"/>
      <c r="Q178" s="491"/>
      <c r="R178" s="491"/>
      <c r="S178" s="491"/>
      <c r="T178" s="491"/>
      <c r="U178" s="491"/>
      <c r="V178" s="491"/>
      <c r="W178" s="491"/>
      <c r="X178" s="491"/>
    </row>
    <row r="179">
      <c r="A179" s="492">
        <v>45152.0</v>
      </c>
      <c r="B179" s="493" t="s">
        <v>770</v>
      </c>
      <c r="C179" s="484" t="s">
        <v>773</v>
      </c>
      <c r="D179" s="484"/>
      <c r="E179" s="485"/>
      <c r="F179" s="487">
        <v>23.69</v>
      </c>
      <c r="G179" s="487"/>
      <c r="H179" s="494">
        <v>1175491.28</v>
      </c>
      <c r="I179" s="494"/>
      <c r="J179" s="491"/>
      <c r="K179" s="491"/>
      <c r="L179" s="491"/>
      <c r="M179" s="491"/>
      <c r="N179" s="491"/>
      <c r="O179" s="491"/>
      <c r="P179" s="491"/>
      <c r="Q179" s="491"/>
      <c r="R179" s="491"/>
      <c r="S179" s="491"/>
      <c r="T179" s="491"/>
      <c r="U179" s="491"/>
      <c r="V179" s="491"/>
      <c r="W179" s="491"/>
      <c r="X179" s="491"/>
    </row>
    <row r="180">
      <c r="A180" s="492">
        <v>45152.0</v>
      </c>
      <c r="B180" s="493" t="s">
        <v>770</v>
      </c>
      <c r="C180" s="484" t="s">
        <v>774</v>
      </c>
      <c r="D180" s="484"/>
      <c r="E180" s="484"/>
      <c r="F180" s="487">
        <v>125.0</v>
      </c>
      <c r="G180" s="487"/>
      <c r="H180" s="494">
        <v>1175366.28</v>
      </c>
      <c r="I180" s="494"/>
      <c r="J180" s="491"/>
      <c r="K180" s="491"/>
      <c r="L180" s="491"/>
      <c r="M180" s="491"/>
      <c r="N180" s="491"/>
      <c r="O180" s="491"/>
      <c r="P180" s="491"/>
      <c r="Q180" s="491"/>
      <c r="R180" s="491"/>
      <c r="S180" s="491"/>
      <c r="T180" s="491"/>
      <c r="U180" s="491"/>
      <c r="V180" s="491"/>
      <c r="W180" s="491"/>
      <c r="X180" s="491"/>
    </row>
    <row r="181">
      <c r="A181" s="492">
        <v>45152.0</v>
      </c>
      <c r="B181" s="493" t="s">
        <v>770</v>
      </c>
      <c r="C181" s="484" t="s">
        <v>775</v>
      </c>
      <c r="D181" s="484"/>
      <c r="E181" s="484"/>
      <c r="F181" s="487">
        <v>26.72</v>
      </c>
      <c r="G181" s="487"/>
      <c r="H181" s="494">
        <v>1175339.56</v>
      </c>
      <c r="I181" s="494"/>
      <c r="J181" s="491"/>
      <c r="K181" s="491"/>
      <c r="L181" s="491"/>
      <c r="M181" s="491"/>
      <c r="N181" s="491"/>
      <c r="O181" s="491"/>
      <c r="P181" s="491"/>
      <c r="Q181" s="491"/>
      <c r="R181" s="491"/>
      <c r="S181" s="491"/>
      <c r="T181" s="491"/>
      <c r="U181" s="491"/>
      <c r="V181" s="491"/>
      <c r="W181" s="491"/>
      <c r="X181" s="491"/>
    </row>
    <row r="182">
      <c r="A182" s="492">
        <v>45152.0</v>
      </c>
      <c r="B182" s="493" t="s">
        <v>770</v>
      </c>
      <c r="C182" s="484" t="s">
        <v>776</v>
      </c>
      <c r="D182" s="484"/>
      <c r="E182" s="484"/>
      <c r="F182" s="487">
        <v>150.0</v>
      </c>
      <c r="G182" s="487"/>
      <c r="H182" s="494">
        <v>1175189.56</v>
      </c>
      <c r="I182" s="494"/>
      <c r="J182" s="491"/>
      <c r="K182" s="491"/>
      <c r="L182" s="491"/>
      <c r="M182" s="491"/>
      <c r="N182" s="491"/>
      <c r="O182" s="491"/>
      <c r="P182" s="491"/>
      <c r="Q182" s="491"/>
      <c r="R182" s="491"/>
      <c r="S182" s="491"/>
      <c r="T182" s="491"/>
      <c r="U182" s="491"/>
      <c r="V182" s="491"/>
      <c r="W182" s="491"/>
      <c r="X182" s="491"/>
    </row>
    <row r="183">
      <c r="A183" s="492">
        <v>45152.0</v>
      </c>
      <c r="B183" s="493" t="s">
        <v>770</v>
      </c>
      <c r="C183" s="484" t="s">
        <v>776</v>
      </c>
      <c r="D183" s="485"/>
      <c r="E183" s="485"/>
      <c r="F183" s="487">
        <v>50.0</v>
      </c>
      <c r="G183" s="487"/>
      <c r="H183" s="494">
        <v>1175139.56</v>
      </c>
      <c r="I183" s="494"/>
      <c r="J183" s="491"/>
      <c r="K183" s="491"/>
      <c r="L183" s="491"/>
      <c r="M183" s="491"/>
      <c r="N183" s="491"/>
      <c r="O183" s="491"/>
      <c r="P183" s="491"/>
      <c r="Q183" s="491"/>
      <c r="R183" s="491"/>
      <c r="S183" s="491"/>
      <c r="T183" s="491"/>
      <c r="U183" s="491"/>
      <c r="V183" s="491"/>
      <c r="W183" s="491"/>
      <c r="X183" s="491"/>
    </row>
    <row r="184">
      <c r="A184" s="492">
        <v>45152.0</v>
      </c>
      <c r="B184" s="493" t="s">
        <v>770</v>
      </c>
      <c r="C184" s="484" t="s">
        <v>777</v>
      </c>
      <c r="D184" s="484"/>
      <c r="E184" s="484"/>
      <c r="F184" s="487">
        <v>142.56</v>
      </c>
      <c r="G184" s="487"/>
      <c r="H184" s="494">
        <v>1174997.0</v>
      </c>
      <c r="I184" s="494"/>
      <c r="J184" s="491"/>
      <c r="K184" s="491"/>
      <c r="L184" s="491"/>
      <c r="M184" s="491"/>
      <c r="N184" s="491"/>
      <c r="O184" s="491"/>
      <c r="P184" s="491"/>
      <c r="Q184" s="491"/>
      <c r="R184" s="491"/>
      <c r="S184" s="491"/>
      <c r="T184" s="491"/>
      <c r="U184" s="491"/>
      <c r="V184" s="491"/>
      <c r="W184" s="491"/>
      <c r="X184" s="491"/>
    </row>
    <row r="185">
      <c r="A185" s="492">
        <v>45152.0</v>
      </c>
      <c r="B185" s="493" t="s">
        <v>770</v>
      </c>
      <c r="C185" s="484" t="s">
        <v>704</v>
      </c>
      <c r="D185" s="484"/>
      <c r="E185" s="484"/>
      <c r="F185" s="487">
        <v>250.11</v>
      </c>
      <c r="G185" s="487"/>
      <c r="H185" s="494">
        <v>1174746.89</v>
      </c>
      <c r="I185" s="494"/>
      <c r="J185" s="491"/>
      <c r="K185" s="491"/>
      <c r="L185" s="491"/>
      <c r="M185" s="491"/>
      <c r="N185" s="491"/>
      <c r="O185" s="491"/>
      <c r="P185" s="491"/>
      <c r="Q185" s="491"/>
      <c r="R185" s="491"/>
      <c r="S185" s="491"/>
      <c r="T185" s="491"/>
      <c r="U185" s="491"/>
      <c r="V185" s="491"/>
      <c r="W185" s="491"/>
      <c r="X185" s="491"/>
    </row>
    <row r="186">
      <c r="A186" s="492">
        <v>45152.0</v>
      </c>
      <c r="B186" s="493" t="s">
        <v>770</v>
      </c>
      <c r="C186" s="484" t="s">
        <v>704</v>
      </c>
      <c r="D186" s="484"/>
      <c r="E186" s="485"/>
      <c r="F186" s="487">
        <v>50.0</v>
      </c>
      <c r="G186" s="487"/>
      <c r="H186" s="494">
        <v>1174696.89</v>
      </c>
      <c r="I186" s="494"/>
      <c r="J186" s="491"/>
      <c r="K186" s="491"/>
      <c r="L186" s="491"/>
      <c r="M186" s="491"/>
      <c r="N186" s="491"/>
      <c r="O186" s="491"/>
      <c r="P186" s="491"/>
      <c r="Q186" s="491"/>
      <c r="R186" s="491"/>
      <c r="S186" s="491"/>
      <c r="T186" s="491"/>
      <c r="U186" s="491"/>
      <c r="V186" s="491"/>
      <c r="W186" s="491"/>
      <c r="X186" s="491"/>
    </row>
    <row r="187">
      <c r="A187" s="492">
        <v>45152.0</v>
      </c>
      <c r="B187" s="493" t="s">
        <v>770</v>
      </c>
      <c r="C187" s="484" t="s">
        <v>778</v>
      </c>
      <c r="D187" s="484"/>
      <c r="E187" s="484"/>
      <c r="F187" s="487">
        <v>65.0</v>
      </c>
      <c r="G187" s="487"/>
      <c r="H187" s="494">
        <v>1174631.89</v>
      </c>
      <c r="I187" s="494"/>
      <c r="J187" s="491"/>
      <c r="K187" s="491"/>
      <c r="L187" s="491"/>
      <c r="M187" s="491"/>
      <c r="N187" s="491"/>
      <c r="O187" s="491"/>
      <c r="P187" s="491"/>
      <c r="Q187" s="491"/>
      <c r="R187" s="491"/>
      <c r="S187" s="491"/>
      <c r="T187" s="491"/>
      <c r="U187" s="491"/>
      <c r="V187" s="491"/>
      <c r="W187" s="491"/>
      <c r="X187" s="491"/>
    </row>
    <row r="188">
      <c r="A188" s="492">
        <v>45152.0</v>
      </c>
      <c r="B188" s="493" t="s">
        <v>770</v>
      </c>
      <c r="C188" s="484" t="s">
        <v>779</v>
      </c>
      <c r="D188" s="484"/>
      <c r="E188" s="484"/>
      <c r="F188" s="487">
        <v>597.97</v>
      </c>
      <c r="G188" s="487"/>
      <c r="H188" s="494">
        <v>1174033.92</v>
      </c>
      <c r="I188" s="494"/>
      <c r="J188" s="491"/>
      <c r="K188" s="491"/>
      <c r="L188" s="491"/>
      <c r="M188" s="491"/>
      <c r="N188" s="491"/>
      <c r="O188" s="491"/>
      <c r="P188" s="491"/>
      <c r="Q188" s="491"/>
      <c r="R188" s="491"/>
      <c r="S188" s="491"/>
      <c r="T188" s="491"/>
      <c r="U188" s="491"/>
      <c r="V188" s="491"/>
      <c r="W188" s="491"/>
      <c r="X188" s="491"/>
    </row>
    <row r="189">
      <c r="A189" s="492">
        <v>45152.0</v>
      </c>
      <c r="B189" s="493" t="s">
        <v>770</v>
      </c>
      <c r="C189" s="484" t="s">
        <v>780</v>
      </c>
      <c r="D189" s="485"/>
      <c r="E189" s="485"/>
      <c r="F189" s="487">
        <v>1215.0</v>
      </c>
      <c r="G189" s="487"/>
      <c r="H189" s="494">
        <v>1172818.92</v>
      </c>
      <c r="I189" s="494"/>
      <c r="J189" s="491"/>
      <c r="K189" s="491"/>
      <c r="L189" s="491"/>
      <c r="M189" s="491"/>
      <c r="N189" s="491"/>
      <c r="O189" s="491"/>
      <c r="P189" s="491"/>
      <c r="Q189" s="491"/>
      <c r="R189" s="491"/>
      <c r="S189" s="491"/>
      <c r="T189" s="491"/>
      <c r="U189" s="491"/>
      <c r="V189" s="491"/>
      <c r="W189" s="491"/>
      <c r="X189" s="491"/>
    </row>
    <row r="190">
      <c r="A190" s="492">
        <v>45152.0</v>
      </c>
      <c r="B190" s="493" t="s">
        <v>770</v>
      </c>
      <c r="C190" s="484" t="s">
        <v>781</v>
      </c>
      <c r="D190" s="485"/>
      <c r="E190" s="485"/>
      <c r="F190" s="487">
        <v>23.64</v>
      </c>
      <c r="G190" s="487"/>
      <c r="H190" s="494">
        <v>1172795.28</v>
      </c>
      <c r="I190" s="494"/>
      <c r="J190" s="491"/>
      <c r="K190" s="491"/>
      <c r="L190" s="491"/>
      <c r="M190" s="491"/>
      <c r="N190" s="491"/>
      <c r="O190" s="491"/>
      <c r="P190" s="491"/>
      <c r="Q190" s="491"/>
      <c r="R190" s="491"/>
      <c r="S190" s="491"/>
      <c r="T190" s="491"/>
      <c r="U190" s="491"/>
      <c r="V190" s="491"/>
      <c r="W190" s="491"/>
      <c r="X190" s="491"/>
    </row>
    <row r="191">
      <c r="A191" s="492">
        <v>45153.0</v>
      </c>
      <c r="B191" s="493" t="s">
        <v>782</v>
      </c>
      <c r="C191" s="484" t="s">
        <v>783</v>
      </c>
      <c r="D191" s="485"/>
      <c r="E191" s="485"/>
      <c r="F191" s="487">
        <v>70.43</v>
      </c>
      <c r="G191" s="487"/>
      <c r="H191" s="494">
        <v>1172724.85</v>
      </c>
      <c r="I191" s="494"/>
      <c r="J191" s="491"/>
      <c r="K191" s="491"/>
      <c r="L191" s="491"/>
      <c r="M191" s="491"/>
      <c r="N191" s="491"/>
      <c r="O191" s="491"/>
      <c r="P191" s="491"/>
      <c r="Q191" s="491"/>
      <c r="R191" s="491"/>
      <c r="S191" s="491"/>
      <c r="T191" s="491"/>
      <c r="U191" s="491"/>
      <c r="V191" s="491"/>
      <c r="W191" s="491"/>
      <c r="X191" s="491"/>
    </row>
    <row r="192">
      <c r="A192" s="492">
        <v>45153.0</v>
      </c>
      <c r="B192" s="493" t="s">
        <v>782</v>
      </c>
      <c r="C192" s="484" t="s">
        <v>784</v>
      </c>
      <c r="D192" s="484"/>
      <c r="E192" s="485"/>
      <c r="F192" s="495">
        <v>47.59</v>
      </c>
      <c r="G192" s="487"/>
      <c r="H192" s="494">
        <v>1172677.26</v>
      </c>
      <c r="I192" s="494"/>
      <c r="J192" s="491"/>
      <c r="K192" s="491"/>
      <c r="L192" s="491"/>
      <c r="M192" s="491"/>
      <c r="N192" s="491"/>
      <c r="O192" s="491"/>
      <c r="P192" s="491"/>
      <c r="Q192" s="491"/>
      <c r="R192" s="491"/>
      <c r="S192" s="491"/>
      <c r="T192" s="491"/>
      <c r="U192" s="491"/>
      <c r="V192" s="491"/>
      <c r="W192" s="491"/>
      <c r="X192" s="491"/>
    </row>
    <row r="193">
      <c r="A193" s="492">
        <v>45153.0</v>
      </c>
      <c r="B193" s="493" t="s">
        <v>782</v>
      </c>
      <c r="C193" s="484" t="s">
        <v>785</v>
      </c>
      <c r="D193" s="484"/>
      <c r="E193" s="484"/>
      <c r="F193" s="487">
        <v>173.55</v>
      </c>
      <c r="G193" s="487"/>
      <c r="H193" s="494">
        <v>1172503.71</v>
      </c>
      <c r="I193" s="494"/>
      <c r="J193" s="491"/>
      <c r="K193" s="491"/>
      <c r="L193" s="491"/>
      <c r="M193" s="491"/>
      <c r="N193" s="491"/>
      <c r="O193" s="491"/>
      <c r="P193" s="491"/>
      <c r="Q193" s="491"/>
      <c r="R193" s="491"/>
      <c r="S193" s="491"/>
      <c r="T193" s="491"/>
      <c r="U193" s="491"/>
      <c r="V193" s="491"/>
      <c r="W193" s="491"/>
      <c r="X193" s="491"/>
    </row>
    <row r="194">
      <c r="A194" s="492">
        <v>45153.0</v>
      </c>
      <c r="B194" s="493" t="s">
        <v>782</v>
      </c>
      <c r="C194" s="484" t="s">
        <v>786</v>
      </c>
      <c r="D194" s="484"/>
      <c r="E194" s="485"/>
      <c r="F194" s="487">
        <v>50.0</v>
      </c>
      <c r="G194" s="487"/>
      <c r="H194" s="494">
        <v>1172453.71</v>
      </c>
      <c r="I194" s="494"/>
      <c r="J194" s="491"/>
      <c r="K194" s="491"/>
      <c r="L194" s="491"/>
      <c r="M194" s="491"/>
      <c r="N194" s="491"/>
      <c r="O194" s="491"/>
      <c r="P194" s="491"/>
      <c r="Q194" s="491"/>
      <c r="R194" s="491"/>
      <c r="S194" s="491"/>
      <c r="T194" s="491"/>
      <c r="U194" s="491"/>
      <c r="V194" s="491"/>
      <c r="W194" s="491"/>
      <c r="X194" s="491"/>
    </row>
    <row r="195">
      <c r="A195" s="492">
        <v>45153.0</v>
      </c>
      <c r="B195" s="493" t="s">
        <v>782</v>
      </c>
      <c r="C195" s="484" t="s">
        <v>784</v>
      </c>
      <c r="D195" s="484"/>
      <c r="E195" s="485"/>
      <c r="F195" s="487">
        <v>13.71</v>
      </c>
      <c r="G195" s="487"/>
      <c r="H195" s="494">
        <v>1172440.0</v>
      </c>
      <c r="I195" s="494"/>
      <c r="J195" s="491"/>
      <c r="K195" s="491"/>
      <c r="L195" s="491"/>
      <c r="M195" s="491"/>
      <c r="N195" s="491"/>
      <c r="O195" s="491"/>
      <c r="P195" s="491"/>
      <c r="Q195" s="491"/>
      <c r="R195" s="491"/>
      <c r="S195" s="491"/>
      <c r="T195" s="491"/>
      <c r="U195" s="491"/>
      <c r="V195" s="491"/>
      <c r="W195" s="491"/>
      <c r="X195" s="491"/>
    </row>
    <row r="196">
      <c r="A196" s="492">
        <v>45153.0</v>
      </c>
      <c r="B196" s="493" t="s">
        <v>782</v>
      </c>
      <c r="C196" s="484" t="s">
        <v>787</v>
      </c>
      <c r="D196" s="484"/>
      <c r="E196" s="484"/>
      <c r="F196" s="487">
        <v>195.81</v>
      </c>
      <c r="G196" s="487"/>
      <c r="H196" s="494">
        <v>1172244.19</v>
      </c>
      <c r="I196" s="494"/>
      <c r="J196" s="491"/>
      <c r="K196" s="491"/>
      <c r="L196" s="491"/>
      <c r="M196" s="491"/>
      <c r="N196" s="491"/>
      <c r="O196" s="491"/>
      <c r="P196" s="491"/>
      <c r="Q196" s="491"/>
      <c r="R196" s="491"/>
      <c r="S196" s="491"/>
      <c r="T196" s="491"/>
      <c r="U196" s="491"/>
      <c r="V196" s="491"/>
      <c r="W196" s="491"/>
      <c r="X196" s="491"/>
    </row>
    <row r="197">
      <c r="A197" s="492">
        <v>45153.0</v>
      </c>
      <c r="B197" s="493" t="s">
        <v>782</v>
      </c>
      <c r="C197" s="484" t="s">
        <v>788</v>
      </c>
      <c r="D197" s="484"/>
      <c r="E197" s="485"/>
      <c r="F197" s="487">
        <v>143.46</v>
      </c>
      <c r="G197" s="487"/>
      <c r="H197" s="494">
        <v>1172100.73</v>
      </c>
      <c r="I197" s="494"/>
      <c r="J197" s="491"/>
      <c r="K197" s="491"/>
      <c r="L197" s="491"/>
      <c r="M197" s="491"/>
      <c r="N197" s="491"/>
      <c r="O197" s="491"/>
      <c r="P197" s="491"/>
      <c r="Q197" s="491"/>
      <c r="R197" s="491"/>
      <c r="S197" s="491"/>
      <c r="T197" s="491"/>
      <c r="U197" s="491"/>
      <c r="V197" s="491"/>
      <c r="W197" s="491"/>
      <c r="X197" s="491"/>
    </row>
    <row r="198">
      <c r="A198" s="492">
        <v>45153.0</v>
      </c>
      <c r="B198" s="493" t="s">
        <v>782</v>
      </c>
      <c r="C198" s="484" t="s">
        <v>789</v>
      </c>
      <c r="D198" s="484"/>
      <c r="E198" s="485"/>
      <c r="F198" s="487">
        <v>76.69</v>
      </c>
      <c r="G198" s="487"/>
      <c r="H198" s="494">
        <v>1172024.04</v>
      </c>
      <c r="I198" s="494"/>
      <c r="J198" s="491"/>
      <c r="K198" s="491"/>
      <c r="L198" s="491"/>
      <c r="M198" s="491"/>
      <c r="N198" s="491"/>
      <c r="O198" s="491"/>
      <c r="P198" s="491"/>
      <c r="Q198" s="491"/>
      <c r="R198" s="491"/>
      <c r="S198" s="491"/>
      <c r="T198" s="491"/>
      <c r="U198" s="491"/>
      <c r="V198" s="491"/>
      <c r="W198" s="491"/>
      <c r="X198" s="491"/>
    </row>
    <row r="199">
      <c r="A199" s="492">
        <v>45153.0</v>
      </c>
      <c r="B199" s="493" t="s">
        <v>782</v>
      </c>
      <c r="C199" s="484" t="s">
        <v>790</v>
      </c>
      <c r="D199" s="484"/>
      <c r="E199" s="485"/>
      <c r="F199" s="487">
        <v>100.8</v>
      </c>
      <c r="G199" s="487"/>
      <c r="H199" s="494">
        <v>1171923.24</v>
      </c>
      <c r="I199" s="494"/>
      <c r="J199" s="491"/>
      <c r="K199" s="491"/>
      <c r="L199" s="491"/>
      <c r="M199" s="491"/>
      <c r="N199" s="491"/>
      <c r="O199" s="491"/>
      <c r="P199" s="491"/>
      <c r="Q199" s="491"/>
      <c r="R199" s="491"/>
      <c r="S199" s="491"/>
      <c r="T199" s="491"/>
      <c r="U199" s="491"/>
      <c r="V199" s="491"/>
      <c r="W199" s="491"/>
      <c r="X199" s="491"/>
    </row>
    <row r="200">
      <c r="A200" s="492">
        <v>45153.0</v>
      </c>
      <c r="B200" s="493" t="s">
        <v>782</v>
      </c>
      <c r="C200" s="484" t="s">
        <v>791</v>
      </c>
      <c r="D200" s="484"/>
      <c r="E200" s="484"/>
      <c r="F200" s="487">
        <v>27.88</v>
      </c>
      <c r="G200" s="487"/>
      <c r="H200" s="494">
        <v>1171895.36</v>
      </c>
      <c r="I200" s="494"/>
      <c r="J200" s="491"/>
      <c r="K200" s="491"/>
      <c r="L200" s="491"/>
      <c r="M200" s="491"/>
      <c r="N200" s="491"/>
      <c r="O200" s="491"/>
      <c r="P200" s="491"/>
      <c r="Q200" s="491"/>
      <c r="R200" s="491"/>
      <c r="S200" s="491"/>
      <c r="T200" s="491"/>
      <c r="U200" s="491"/>
      <c r="V200" s="491"/>
      <c r="W200" s="491"/>
      <c r="X200" s="491"/>
    </row>
    <row r="201">
      <c r="A201" s="492">
        <v>45153.0</v>
      </c>
      <c r="B201" s="493" t="s">
        <v>782</v>
      </c>
      <c r="C201" s="484" t="s">
        <v>792</v>
      </c>
      <c r="D201" s="484"/>
      <c r="E201" s="484"/>
      <c r="F201" s="487">
        <v>135.0</v>
      </c>
      <c r="G201" s="487"/>
      <c r="H201" s="494">
        <v>1171760.36</v>
      </c>
      <c r="I201" s="494"/>
      <c r="J201" s="491"/>
      <c r="K201" s="491"/>
      <c r="L201" s="491"/>
      <c r="M201" s="491"/>
      <c r="N201" s="491"/>
      <c r="O201" s="491"/>
      <c r="P201" s="491"/>
      <c r="Q201" s="491"/>
      <c r="R201" s="491"/>
      <c r="S201" s="491"/>
      <c r="T201" s="491"/>
      <c r="U201" s="491"/>
      <c r="V201" s="491"/>
      <c r="W201" s="491"/>
      <c r="X201" s="491"/>
    </row>
    <row r="202">
      <c r="A202" s="492">
        <v>45153.0</v>
      </c>
      <c r="B202" s="493" t="s">
        <v>782</v>
      </c>
      <c r="C202" s="484" t="s">
        <v>793</v>
      </c>
      <c r="D202" s="484"/>
      <c r="E202" s="484"/>
      <c r="F202" s="487">
        <v>56.66</v>
      </c>
      <c r="G202" s="487"/>
      <c r="H202" s="494">
        <v>1171703.7</v>
      </c>
      <c r="I202" s="494"/>
      <c r="J202" s="491"/>
      <c r="K202" s="491"/>
      <c r="L202" s="491"/>
      <c r="M202" s="491"/>
      <c r="N202" s="491"/>
      <c r="O202" s="491"/>
      <c r="P202" s="491"/>
      <c r="Q202" s="491"/>
      <c r="R202" s="491"/>
      <c r="S202" s="491"/>
      <c r="T202" s="491"/>
      <c r="U202" s="491"/>
      <c r="V202" s="491"/>
      <c r="W202" s="491"/>
      <c r="X202" s="491"/>
    </row>
    <row r="203">
      <c r="A203" s="492">
        <v>45153.0</v>
      </c>
      <c r="B203" s="493" t="s">
        <v>782</v>
      </c>
      <c r="C203" s="484" t="s">
        <v>794</v>
      </c>
      <c r="D203" s="484"/>
      <c r="E203" s="484"/>
      <c r="F203" s="487">
        <v>888.99</v>
      </c>
      <c r="G203" s="487"/>
      <c r="H203" s="494">
        <v>1170814.71</v>
      </c>
      <c r="I203" s="494"/>
      <c r="J203" s="491"/>
      <c r="K203" s="491"/>
      <c r="L203" s="491"/>
      <c r="M203" s="491"/>
      <c r="N203" s="491"/>
      <c r="O203" s="491"/>
      <c r="P203" s="491"/>
      <c r="Q203" s="491"/>
      <c r="R203" s="491"/>
      <c r="S203" s="491"/>
      <c r="T203" s="491"/>
      <c r="U203" s="491"/>
      <c r="V203" s="491"/>
      <c r="W203" s="491"/>
      <c r="X203" s="491"/>
    </row>
    <row r="204">
      <c r="A204" s="492">
        <v>45153.0</v>
      </c>
      <c r="B204" s="493" t="s">
        <v>782</v>
      </c>
      <c r="C204" s="484" t="s">
        <v>795</v>
      </c>
      <c r="D204" s="485"/>
      <c r="E204" s="485"/>
      <c r="F204" s="495">
        <v>16.95</v>
      </c>
      <c r="G204" s="487"/>
      <c r="H204" s="494">
        <v>1170797.76</v>
      </c>
      <c r="I204" s="494"/>
      <c r="J204" s="491"/>
      <c r="K204" s="491"/>
      <c r="L204" s="491"/>
      <c r="M204" s="491"/>
      <c r="N204" s="491"/>
      <c r="O204" s="491"/>
      <c r="P204" s="491"/>
      <c r="Q204" s="491"/>
      <c r="R204" s="491"/>
      <c r="S204" s="491"/>
      <c r="T204" s="491"/>
      <c r="U204" s="491"/>
      <c r="V204" s="491"/>
      <c r="W204" s="491"/>
      <c r="X204" s="491"/>
    </row>
    <row r="205">
      <c r="A205" s="492">
        <v>45153.0</v>
      </c>
      <c r="B205" s="493" t="s">
        <v>782</v>
      </c>
      <c r="C205" s="484" t="s">
        <v>796</v>
      </c>
      <c r="D205" s="484"/>
      <c r="E205" s="485"/>
      <c r="F205" s="487">
        <v>158.98</v>
      </c>
      <c r="G205" s="487"/>
      <c r="H205" s="494">
        <v>1170638.78</v>
      </c>
      <c r="I205" s="494"/>
      <c r="J205" s="491"/>
      <c r="K205" s="491"/>
      <c r="L205" s="491"/>
      <c r="M205" s="491"/>
      <c r="N205" s="491"/>
      <c r="O205" s="491"/>
      <c r="P205" s="491"/>
      <c r="Q205" s="491"/>
      <c r="R205" s="491"/>
      <c r="S205" s="491"/>
      <c r="T205" s="491"/>
      <c r="U205" s="491"/>
      <c r="V205" s="491"/>
      <c r="W205" s="491"/>
      <c r="X205" s="491"/>
    </row>
    <row r="206">
      <c r="A206" s="492">
        <v>45153.0</v>
      </c>
      <c r="B206" s="493" t="s">
        <v>782</v>
      </c>
      <c r="C206" s="484" t="s">
        <v>797</v>
      </c>
      <c r="D206" s="484"/>
      <c r="E206" s="485"/>
      <c r="F206" s="487">
        <v>244.02</v>
      </c>
      <c r="G206" s="487"/>
      <c r="H206" s="494">
        <v>1170394.76</v>
      </c>
      <c r="I206" s="494"/>
      <c r="J206" s="491"/>
      <c r="K206" s="491"/>
      <c r="L206" s="491"/>
      <c r="M206" s="491"/>
      <c r="N206" s="491"/>
      <c r="O206" s="491"/>
      <c r="P206" s="491"/>
      <c r="Q206" s="491"/>
      <c r="R206" s="491"/>
      <c r="S206" s="491"/>
      <c r="T206" s="491"/>
      <c r="U206" s="491"/>
      <c r="V206" s="491"/>
      <c r="W206" s="491"/>
      <c r="X206" s="491"/>
    </row>
    <row r="207">
      <c r="A207" s="492">
        <v>45153.0</v>
      </c>
      <c r="B207" s="493" t="s">
        <v>782</v>
      </c>
      <c r="C207" s="484" t="s">
        <v>798</v>
      </c>
      <c r="D207" s="484"/>
      <c r="E207" s="484"/>
      <c r="F207" s="487">
        <v>75.0</v>
      </c>
      <c r="G207" s="487"/>
      <c r="H207" s="494">
        <v>1170319.76</v>
      </c>
      <c r="I207" s="494"/>
      <c r="J207" s="491"/>
      <c r="K207" s="491"/>
      <c r="L207" s="491"/>
      <c r="M207" s="491"/>
      <c r="N207" s="491"/>
      <c r="O207" s="491"/>
      <c r="P207" s="491"/>
      <c r="Q207" s="491"/>
      <c r="R207" s="491"/>
      <c r="S207" s="491"/>
      <c r="T207" s="491"/>
      <c r="U207" s="491"/>
      <c r="V207" s="491"/>
      <c r="W207" s="491"/>
      <c r="X207" s="491"/>
    </row>
    <row r="208">
      <c r="A208" s="492">
        <v>45153.0</v>
      </c>
      <c r="B208" s="493" t="s">
        <v>799</v>
      </c>
      <c r="C208" s="484" t="s">
        <v>800</v>
      </c>
      <c r="D208" s="484"/>
      <c r="E208" s="485"/>
      <c r="F208" s="487">
        <v>827.25</v>
      </c>
      <c r="G208" s="487"/>
      <c r="H208" s="494">
        <v>1169492.51</v>
      </c>
      <c r="I208" s="494"/>
      <c r="J208" s="491"/>
      <c r="K208" s="491"/>
      <c r="L208" s="491"/>
      <c r="M208" s="491"/>
      <c r="N208" s="491"/>
      <c r="O208" s="491"/>
      <c r="P208" s="491"/>
      <c r="Q208" s="491"/>
      <c r="R208" s="491"/>
      <c r="S208" s="491"/>
      <c r="T208" s="491"/>
      <c r="U208" s="491"/>
      <c r="V208" s="491"/>
      <c r="W208" s="491"/>
      <c r="X208" s="491"/>
    </row>
    <row r="209">
      <c r="A209" s="492">
        <v>45153.0</v>
      </c>
      <c r="B209" s="493" t="s">
        <v>801</v>
      </c>
      <c r="C209" s="484" t="s">
        <v>802</v>
      </c>
      <c r="D209" s="485"/>
      <c r="E209" s="485"/>
      <c r="F209" s="487">
        <v>174033.51</v>
      </c>
      <c r="G209" s="487"/>
      <c r="H209" s="494">
        <v>995459.0</v>
      </c>
      <c r="I209" s="494"/>
      <c r="J209" s="491"/>
      <c r="K209" s="491"/>
      <c r="L209" s="491"/>
      <c r="M209" s="491"/>
      <c r="N209" s="491"/>
      <c r="O209" s="491"/>
      <c r="P209" s="491"/>
      <c r="Q209" s="491"/>
      <c r="R209" s="491"/>
      <c r="S209" s="491"/>
      <c r="T209" s="491"/>
      <c r="U209" s="491"/>
      <c r="V209" s="491"/>
      <c r="W209" s="491"/>
      <c r="X209" s="491"/>
    </row>
    <row r="210">
      <c r="A210" s="492">
        <v>45153.0</v>
      </c>
      <c r="B210" s="493" t="s">
        <v>803</v>
      </c>
      <c r="C210" s="484" t="s">
        <v>804</v>
      </c>
      <c r="D210" s="484"/>
      <c r="E210" s="485"/>
      <c r="F210" s="487">
        <v>209.97</v>
      </c>
      <c r="G210" s="487"/>
      <c r="H210" s="494">
        <v>995249.03</v>
      </c>
      <c r="I210" s="494"/>
      <c r="J210" s="491"/>
      <c r="K210" s="491"/>
      <c r="L210" s="491"/>
      <c r="M210" s="491"/>
      <c r="N210" s="491"/>
      <c r="O210" s="491"/>
      <c r="P210" s="491"/>
      <c r="Q210" s="491"/>
      <c r="R210" s="491"/>
      <c r="S210" s="491"/>
      <c r="T210" s="491"/>
      <c r="U210" s="491"/>
      <c r="V210" s="491"/>
      <c r="W210" s="491"/>
      <c r="X210" s="491"/>
    </row>
    <row r="211">
      <c r="A211" s="492">
        <v>45153.0</v>
      </c>
      <c r="B211" s="493" t="s">
        <v>805</v>
      </c>
      <c r="C211" s="484" t="s">
        <v>806</v>
      </c>
      <c r="D211" s="484"/>
      <c r="E211" s="484"/>
      <c r="F211" s="487">
        <v>62849.69</v>
      </c>
      <c r="G211" s="487"/>
      <c r="H211" s="494">
        <v>932399.34</v>
      </c>
      <c r="I211" s="494"/>
      <c r="J211" s="491"/>
      <c r="K211" s="491"/>
      <c r="L211" s="491"/>
      <c r="M211" s="491"/>
      <c r="N211" s="491"/>
      <c r="O211" s="491"/>
      <c r="P211" s="491"/>
      <c r="Q211" s="491"/>
      <c r="R211" s="491"/>
      <c r="S211" s="491"/>
      <c r="T211" s="491"/>
      <c r="U211" s="491"/>
      <c r="V211" s="491"/>
      <c r="W211" s="491"/>
      <c r="X211" s="491"/>
    </row>
    <row r="212">
      <c r="A212" s="492">
        <v>45154.0</v>
      </c>
      <c r="B212" s="493" t="s">
        <v>807</v>
      </c>
      <c r="C212" s="484" t="s">
        <v>808</v>
      </c>
      <c r="D212" s="484"/>
      <c r="E212" s="485"/>
      <c r="F212" s="487">
        <v>212.55</v>
      </c>
      <c r="G212" s="487"/>
      <c r="H212" s="494">
        <v>932186.79</v>
      </c>
      <c r="I212" s="494"/>
      <c r="J212" s="491"/>
      <c r="K212" s="491"/>
      <c r="L212" s="491"/>
      <c r="M212" s="491"/>
      <c r="N212" s="491"/>
      <c r="O212" s="491"/>
      <c r="P212" s="491"/>
      <c r="Q212" s="491"/>
      <c r="R212" s="491"/>
      <c r="S212" s="491"/>
      <c r="T212" s="491"/>
      <c r="U212" s="491"/>
      <c r="V212" s="491"/>
      <c r="W212" s="491"/>
      <c r="X212" s="491"/>
    </row>
    <row r="213">
      <c r="A213" s="492">
        <v>45154.0</v>
      </c>
      <c r="B213" s="493" t="s">
        <v>807</v>
      </c>
      <c r="C213" s="484" t="s">
        <v>809</v>
      </c>
      <c r="D213" s="484"/>
      <c r="E213" s="484"/>
      <c r="F213" s="487">
        <v>595.99</v>
      </c>
      <c r="G213" s="487"/>
      <c r="H213" s="494">
        <v>931590.8</v>
      </c>
      <c r="I213" s="494"/>
      <c r="J213" s="491"/>
      <c r="K213" s="491"/>
      <c r="L213" s="491"/>
      <c r="M213" s="491"/>
      <c r="N213" s="491"/>
      <c r="O213" s="491"/>
      <c r="P213" s="491"/>
      <c r="Q213" s="491"/>
      <c r="R213" s="491"/>
      <c r="S213" s="491"/>
      <c r="T213" s="491"/>
      <c r="U213" s="491"/>
      <c r="V213" s="491"/>
      <c r="W213" s="491"/>
      <c r="X213" s="491"/>
    </row>
    <row r="214">
      <c r="A214" s="492">
        <v>45154.0</v>
      </c>
      <c r="B214" s="493" t="s">
        <v>807</v>
      </c>
      <c r="C214" s="484" t="s">
        <v>810</v>
      </c>
      <c r="D214" s="484"/>
      <c r="E214" s="484"/>
      <c r="F214" s="487">
        <v>212.55</v>
      </c>
      <c r="G214" s="487"/>
      <c r="H214" s="494">
        <v>931378.25</v>
      </c>
      <c r="I214" s="494"/>
      <c r="J214" s="491"/>
      <c r="K214" s="491"/>
      <c r="L214" s="491"/>
      <c r="M214" s="491"/>
      <c r="N214" s="491"/>
      <c r="O214" s="491"/>
      <c r="P214" s="491"/>
      <c r="Q214" s="491"/>
      <c r="R214" s="491"/>
      <c r="S214" s="491"/>
      <c r="T214" s="491"/>
      <c r="U214" s="491"/>
      <c r="V214" s="491"/>
      <c r="W214" s="491"/>
      <c r="X214" s="491"/>
    </row>
    <row r="215">
      <c r="A215" s="492">
        <v>45154.0</v>
      </c>
      <c r="B215" s="493" t="s">
        <v>807</v>
      </c>
      <c r="C215" s="484" t="s">
        <v>811</v>
      </c>
      <c r="D215" s="484"/>
      <c r="E215" s="484"/>
      <c r="F215" s="487">
        <v>27.88</v>
      </c>
      <c r="G215" s="487"/>
      <c r="H215" s="494">
        <v>931350.37</v>
      </c>
      <c r="I215" s="494"/>
      <c r="J215" s="491"/>
      <c r="K215" s="491"/>
      <c r="L215" s="491"/>
      <c r="M215" s="491"/>
      <c r="N215" s="491"/>
      <c r="O215" s="491"/>
      <c r="P215" s="491"/>
      <c r="Q215" s="491"/>
      <c r="R215" s="491"/>
      <c r="S215" s="491"/>
      <c r="T215" s="491"/>
      <c r="U215" s="491"/>
      <c r="V215" s="491"/>
      <c r="W215" s="491"/>
      <c r="X215" s="491"/>
    </row>
    <row r="216">
      <c r="A216" s="492">
        <v>45154.0</v>
      </c>
      <c r="B216" s="493" t="s">
        <v>807</v>
      </c>
      <c r="C216" s="484" t="s">
        <v>812</v>
      </c>
      <c r="D216" s="484"/>
      <c r="E216" s="484"/>
      <c r="F216" s="487">
        <v>108.36</v>
      </c>
      <c r="G216" s="487"/>
      <c r="H216" s="494">
        <v>931242.01</v>
      </c>
      <c r="I216" s="494"/>
      <c r="J216" s="491"/>
      <c r="K216" s="491"/>
      <c r="L216" s="491"/>
      <c r="M216" s="491"/>
      <c r="N216" s="491"/>
      <c r="O216" s="491"/>
      <c r="P216" s="491"/>
      <c r="Q216" s="491"/>
      <c r="R216" s="491"/>
      <c r="S216" s="491"/>
      <c r="T216" s="491"/>
      <c r="U216" s="491"/>
      <c r="V216" s="491"/>
      <c r="W216" s="491"/>
      <c r="X216" s="491"/>
    </row>
    <row r="217">
      <c r="A217" s="492">
        <v>45154.0</v>
      </c>
      <c r="B217" s="493" t="s">
        <v>807</v>
      </c>
      <c r="C217" s="484" t="s">
        <v>813</v>
      </c>
      <c r="D217" s="484"/>
      <c r="E217" s="484"/>
      <c r="F217" s="487">
        <v>1764.0</v>
      </c>
      <c r="G217" s="487"/>
      <c r="H217" s="494">
        <v>929478.01</v>
      </c>
      <c r="I217" s="494"/>
      <c r="J217" s="491"/>
      <c r="K217" s="491"/>
      <c r="L217" s="491"/>
      <c r="M217" s="491"/>
      <c r="N217" s="491"/>
      <c r="O217" s="491"/>
      <c r="P217" s="491"/>
      <c r="Q217" s="491"/>
      <c r="R217" s="491"/>
      <c r="S217" s="491"/>
      <c r="T217" s="491"/>
      <c r="U217" s="491"/>
      <c r="V217" s="491"/>
      <c r="W217" s="491"/>
      <c r="X217" s="491"/>
    </row>
    <row r="218">
      <c r="A218" s="492">
        <v>45154.0</v>
      </c>
      <c r="B218" s="493" t="s">
        <v>807</v>
      </c>
      <c r="C218" s="484" t="s">
        <v>814</v>
      </c>
      <c r="D218" s="484"/>
      <c r="E218" s="484"/>
      <c r="F218" s="495"/>
      <c r="G218" s="487">
        <v>529.0</v>
      </c>
      <c r="H218" s="494">
        <v>930007.01</v>
      </c>
      <c r="I218" s="494"/>
      <c r="J218" s="491"/>
      <c r="K218" s="491"/>
      <c r="L218" s="491"/>
      <c r="M218" s="491"/>
      <c r="N218" s="491"/>
      <c r="O218" s="491"/>
      <c r="P218" s="491"/>
      <c r="Q218" s="491"/>
      <c r="R218" s="491"/>
      <c r="S218" s="491"/>
      <c r="T218" s="491"/>
      <c r="U218" s="491"/>
      <c r="V218" s="491"/>
      <c r="W218" s="491"/>
      <c r="X218" s="491"/>
    </row>
    <row r="219">
      <c r="A219" s="492">
        <v>45155.0</v>
      </c>
      <c r="B219" s="493" t="s">
        <v>687</v>
      </c>
      <c r="C219" s="484" t="s">
        <v>815</v>
      </c>
      <c r="D219" s="484"/>
      <c r="E219" s="485"/>
      <c r="F219" s="487"/>
      <c r="G219" s="487">
        <v>13214.82</v>
      </c>
      <c r="H219" s="494">
        <v>943221.83</v>
      </c>
      <c r="I219" s="494"/>
      <c r="J219" s="491"/>
      <c r="K219" s="491"/>
      <c r="L219" s="491"/>
      <c r="M219" s="491"/>
      <c r="N219" s="491"/>
      <c r="O219" s="491"/>
      <c r="P219" s="491"/>
      <c r="Q219" s="491"/>
      <c r="R219" s="491"/>
      <c r="S219" s="491"/>
      <c r="T219" s="491"/>
      <c r="U219" s="491"/>
      <c r="V219" s="491"/>
      <c r="W219" s="491"/>
      <c r="X219" s="491"/>
    </row>
    <row r="220">
      <c r="A220" s="492">
        <v>45155.0</v>
      </c>
      <c r="B220" s="493" t="s">
        <v>816</v>
      </c>
      <c r="C220" s="484" t="s">
        <v>817</v>
      </c>
      <c r="D220" s="485"/>
      <c r="E220" s="485"/>
      <c r="F220" s="495"/>
      <c r="G220" s="487">
        <v>212.54</v>
      </c>
      <c r="H220" s="494">
        <v>943434.37</v>
      </c>
      <c r="I220" s="494"/>
      <c r="J220" s="491"/>
      <c r="K220" s="491"/>
      <c r="L220" s="491"/>
      <c r="M220" s="491"/>
      <c r="N220" s="491"/>
      <c r="O220" s="491"/>
      <c r="P220" s="491"/>
      <c r="Q220" s="491"/>
      <c r="R220" s="491"/>
      <c r="S220" s="491"/>
      <c r="T220" s="491"/>
      <c r="U220" s="491"/>
      <c r="V220" s="491"/>
      <c r="W220" s="491"/>
      <c r="X220" s="491"/>
    </row>
    <row r="221">
      <c r="A221" s="492">
        <v>45155.0</v>
      </c>
      <c r="B221" s="493" t="s">
        <v>816</v>
      </c>
      <c r="C221" s="484" t="s">
        <v>818</v>
      </c>
      <c r="D221" s="484"/>
      <c r="E221" s="485"/>
      <c r="F221" s="495">
        <v>244.24</v>
      </c>
      <c r="G221" s="487"/>
      <c r="H221" s="494">
        <v>943190.13</v>
      </c>
      <c r="I221" s="494"/>
      <c r="J221" s="491"/>
      <c r="K221" s="491"/>
      <c r="L221" s="491"/>
      <c r="M221" s="491"/>
      <c r="N221" s="491"/>
      <c r="O221" s="491"/>
      <c r="P221" s="491"/>
      <c r="Q221" s="491"/>
      <c r="R221" s="491"/>
      <c r="S221" s="491"/>
      <c r="T221" s="491"/>
      <c r="U221" s="491"/>
      <c r="V221" s="491"/>
      <c r="W221" s="491"/>
      <c r="X221" s="491"/>
    </row>
    <row r="222">
      <c r="A222" s="492">
        <v>45155.0</v>
      </c>
      <c r="B222" s="493" t="s">
        <v>816</v>
      </c>
      <c r="C222" s="484" t="s">
        <v>819</v>
      </c>
      <c r="D222" s="484"/>
      <c r="E222" s="485"/>
      <c r="F222" s="495">
        <v>99.29</v>
      </c>
      <c r="G222" s="487"/>
      <c r="H222" s="494">
        <v>943090.84</v>
      </c>
      <c r="I222" s="494"/>
      <c r="J222" s="491"/>
      <c r="K222" s="491"/>
      <c r="L222" s="491"/>
      <c r="M222" s="491"/>
      <c r="N222" s="491"/>
      <c r="O222" s="491"/>
      <c r="P222" s="491"/>
      <c r="Q222" s="491"/>
      <c r="R222" s="491"/>
      <c r="S222" s="491"/>
      <c r="T222" s="491"/>
      <c r="U222" s="491"/>
      <c r="V222" s="491"/>
      <c r="W222" s="491"/>
      <c r="X222" s="491"/>
    </row>
    <row r="223">
      <c r="A223" s="492">
        <v>45155.0</v>
      </c>
      <c r="B223" s="493" t="s">
        <v>816</v>
      </c>
      <c r="C223" s="484" t="s">
        <v>820</v>
      </c>
      <c r="D223" s="485"/>
      <c r="E223" s="485"/>
      <c r="F223" s="495">
        <v>38.15</v>
      </c>
      <c r="G223" s="487"/>
      <c r="H223" s="494">
        <v>943052.69</v>
      </c>
      <c r="I223" s="494"/>
      <c r="J223" s="491"/>
      <c r="K223" s="491"/>
      <c r="L223" s="491"/>
      <c r="M223" s="491"/>
      <c r="N223" s="491"/>
      <c r="O223" s="491"/>
      <c r="P223" s="491"/>
      <c r="Q223" s="491"/>
      <c r="R223" s="491"/>
      <c r="S223" s="491"/>
      <c r="T223" s="491"/>
      <c r="U223" s="491"/>
      <c r="V223" s="491"/>
      <c r="W223" s="491"/>
      <c r="X223" s="491"/>
    </row>
    <row r="224">
      <c r="A224" s="492">
        <v>45155.0</v>
      </c>
      <c r="B224" s="493" t="s">
        <v>816</v>
      </c>
      <c r="C224" s="484" t="s">
        <v>704</v>
      </c>
      <c r="D224" s="484"/>
      <c r="E224" s="485"/>
      <c r="F224" s="495">
        <v>600.0</v>
      </c>
      <c r="G224" s="487"/>
      <c r="H224" s="494">
        <v>942452.69</v>
      </c>
      <c r="I224" s="494"/>
      <c r="J224" s="491"/>
      <c r="K224" s="491"/>
      <c r="L224" s="491"/>
      <c r="M224" s="491"/>
      <c r="N224" s="491"/>
      <c r="O224" s="491"/>
      <c r="P224" s="491"/>
      <c r="Q224" s="491"/>
      <c r="R224" s="491"/>
      <c r="S224" s="491"/>
      <c r="T224" s="491"/>
      <c r="U224" s="491"/>
      <c r="V224" s="491"/>
      <c r="W224" s="491"/>
      <c r="X224" s="491"/>
    </row>
    <row r="225">
      <c r="A225" s="492">
        <v>45155.0</v>
      </c>
      <c r="B225" s="493" t="s">
        <v>816</v>
      </c>
      <c r="C225" s="484" t="s">
        <v>701</v>
      </c>
      <c r="D225" s="484"/>
      <c r="E225" s="485"/>
      <c r="F225" s="487">
        <v>99.0</v>
      </c>
      <c r="G225" s="487"/>
      <c r="H225" s="494">
        <v>942353.69</v>
      </c>
      <c r="I225" s="494"/>
      <c r="J225" s="491"/>
      <c r="K225" s="491"/>
      <c r="L225" s="491"/>
      <c r="M225" s="491"/>
      <c r="N225" s="491"/>
      <c r="O225" s="491"/>
      <c r="P225" s="491"/>
      <c r="Q225" s="491"/>
      <c r="R225" s="491"/>
      <c r="S225" s="491"/>
      <c r="T225" s="491"/>
      <c r="U225" s="491"/>
      <c r="V225" s="491"/>
      <c r="W225" s="491"/>
      <c r="X225" s="491"/>
    </row>
    <row r="226">
      <c r="A226" s="492">
        <v>45156.0</v>
      </c>
      <c r="B226" s="493" t="s">
        <v>687</v>
      </c>
      <c r="C226" s="484" t="s">
        <v>821</v>
      </c>
      <c r="D226" s="484"/>
      <c r="E226" s="484"/>
      <c r="F226" s="487"/>
      <c r="G226" s="487">
        <v>93.5</v>
      </c>
      <c r="H226" s="494">
        <v>942447.19</v>
      </c>
      <c r="I226" s="494"/>
      <c r="J226" s="491"/>
      <c r="K226" s="491"/>
      <c r="L226" s="491"/>
      <c r="M226" s="491"/>
      <c r="N226" s="491"/>
      <c r="O226" s="491"/>
      <c r="P226" s="491"/>
      <c r="Q226" s="491"/>
      <c r="R226" s="491"/>
      <c r="S226" s="491"/>
      <c r="T226" s="491"/>
      <c r="U226" s="491"/>
      <c r="V226" s="491"/>
      <c r="W226" s="491"/>
      <c r="X226" s="491"/>
    </row>
    <row r="227">
      <c r="A227" s="492">
        <v>45156.0</v>
      </c>
      <c r="B227" s="493" t="s">
        <v>822</v>
      </c>
      <c r="C227" s="484" t="s">
        <v>823</v>
      </c>
      <c r="D227" s="484"/>
      <c r="E227" s="484"/>
      <c r="F227" s="487">
        <v>74.99</v>
      </c>
      <c r="G227" s="487"/>
      <c r="H227" s="494">
        <v>942372.2</v>
      </c>
      <c r="I227" s="494"/>
      <c r="J227" s="491"/>
      <c r="K227" s="491"/>
      <c r="L227" s="491"/>
      <c r="M227" s="491"/>
      <c r="N227" s="491"/>
      <c r="O227" s="491"/>
      <c r="P227" s="491"/>
      <c r="Q227" s="491"/>
      <c r="R227" s="491"/>
      <c r="S227" s="491"/>
      <c r="T227" s="491"/>
      <c r="U227" s="491"/>
      <c r="V227" s="491"/>
      <c r="W227" s="491"/>
      <c r="X227" s="491"/>
    </row>
    <row r="228">
      <c r="A228" s="492">
        <v>45156.0</v>
      </c>
      <c r="B228" s="493" t="s">
        <v>824</v>
      </c>
      <c r="C228" s="484" t="s">
        <v>825</v>
      </c>
      <c r="D228" s="484"/>
      <c r="E228" s="484"/>
      <c r="F228" s="487">
        <v>264.3</v>
      </c>
      <c r="G228" s="487"/>
      <c r="H228" s="494">
        <v>942107.9</v>
      </c>
      <c r="I228" s="494"/>
      <c r="J228" s="491"/>
      <c r="K228" s="491"/>
      <c r="L228" s="491"/>
      <c r="M228" s="491"/>
      <c r="N228" s="491"/>
      <c r="O228" s="491"/>
      <c r="P228" s="491"/>
      <c r="Q228" s="491"/>
      <c r="R228" s="491"/>
      <c r="S228" s="491"/>
      <c r="T228" s="491"/>
      <c r="U228" s="491"/>
      <c r="V228" s="491"/>
      <c r="W228" s="491"/>
      <c r="X228" s="491"/>
    </row>
    <row r="229">
      <c r="A229" s="492">
        <v>45156.0</v>
      </c>
      <c r="B229" s="493" t="s">
        <v>824</v>
      </c>
      <c r="C229" s="484" t="s">
        <v>826</v>
      </c>
      <c r="D229" s="484"/>
      <c r="E229" s="484"/>
      <c r="F229" s="487">
        <v>250.0</v>
      </c>
      <c r="G229" s="487"/>
      <c r="H229" s="494">
        <v>941857.9</v>
      </c>
      <c r="I229" s="494"/>
      <c r="J229" s="491"/>
      <c r="K229" s="491"/>
      <c r="L229" s="491"/>
      <c r="M229" s="491"/>
      <c r="N229" s="491"/>
      <c r="O229" s="491"/>
      <c r="P229" s="491"/>
      <c r="Q229" s="491"/>
      <c r="R229" s="491"/>
      <c r="S229" s="491"/>
      <c r="T229" s="491"/>
      <c r="U229" s="491"/>
      <c r="V229" s="491"/>
      <c r="W229" s="491"/>
      <c r="X229" s="491"/>
    </row>
    <row r="230">
      <c r="A230" s="492">
        <v>45156.0</v>
      </c>
      <c r="B230" s="493" t="s">
        <v>827</v>
      </c>
      <c r="C230" s="484" t="s">
        <v>828</v>
      </c>
      <c r="D230" s="484"/>
      <c r="E230" s="484"/>
      <c r="F230" s="487"/>
      <c r="G230" s="487">
        <v>4.55</v>
      </c>
      <c r="H230" s="494">
        <v>941862.45</v>
      </c>
      <c r="I230" s="494"/>
      <c r="J230" s="491"/>
      <c r="K230" s="491"/>
      <c r="L230" s="491"/>
      <c r="M230" s="491"/>
      <c r="N230" s="491"/>
      <c r="O230" s="491"/>
      <c r="P230" s="491"/>
      <c r="Q230" s="491"/>
      <c r="R230" s="491"/>
      <c r="S230" s="491"/>
      <c r="T230" s="491"/>
      <c r="U230" s="491"/>
      <c r="V230" s="491"/>
      <c r="W230" s="491"/>
      <c r="X230" s="491"/>
    </row>
    <row r="231">
      <c r="A231" s="492">
        <v>45159.0</v>
      </c>
      <c r="B231" s="493" t="s">
        <v>829</v>
      </c>
      <c r="C231" s="484" t="s">
        <v>830</v>
      </c>
      <c r="D231" s="484"/>
      <c r="E231" s="484"/>
      <c r="F231" s="487"/>
      <c r="G231" s="487">
        <v>477858.99</v>
      </c>
      <c r="H231" s="494">
        <v>1419721.44</v>
      </c>
      <c r="I231" s="494"/>
      <c r="J231" s="491"/>
      <c r="K231" s="491"/>
      <c r="L231" s="491"/>
      <c r="M231" s="491"/>
      <c r="N231" s="491"/>
      <c r="O231" s="491"/>
      <c r="P231" s="491"/>
      <c r="Q231" s="491"/>
      <c r="R231" s="491"/>
      <c r="S231" s="491"/>
      <c r="T231" s="491"/>
      <c r="U231" s="491"/>
      <c r="V231" s="491"/>
      <c r="W231" s="491"/>
      <c r="X231" s="491"/>
    </row>
    <row r="232">
      <c r="A232" s="492">
        <v>45159.0</v>
      </c>
      <c r="B232" s="493" t="s">
        <v>831</v>
      </c>
      <c r="C232" s="484" t="s">
        <v>832</v>
      </c>
      <c r="D232" s="484"/>
      <c r="E232" s="484"/>
      <c r="F232" s="487">
        <v>19.99</v>
      </c>
      <c r="G232" s="487"/>
      <c r="H232" s="494">
        <v>1419701.45</v>
      </c>
      <c r="I232" s="494"/>
      <c r="J232" s="491"/>
      <c r="K232" s="491"/>
      <c r="L232" s="491"/>
      <c r="M232" s="491"/>
      <c r="N232" s="491"/>
      <c r="O232" s="491"/>
      <c r="P232" s="491"/>
      <c r="Q232" s="491"/>
      <c r="R232" s="491"/>
      <c r="S232" s="491"/>
      <c r="T232" s="491"/>
      <c r="U232" s="491"/>
      <c r="V232" s="491"/>
      <c r="W232" s="491"/>
      <c r="X232" s="491"/>
    </row>
    <row r="233">
      <c r="A233" s="492">
        <v>45159.0</v>
      </c>
      <c r="B233" s="493" t="s">
        <v>831</v>
      </c>
      <c r="C233" s="484" t="s">
        <v>833</v>
      </c>
      <c r="D233" s="484"/>
      <c r="E233" s="485"/>
      <c r="F233" s="487">
        <v>42.28</v>
      </c>
      <c r="G233" s="487"/>
      <c r="H233" s="494">
        <v>1419659.17</v>
      </c>
      <c r="I233" s="494"/>
      <c r="J233" s="491"/>
      <c r="K233" s="491"/>
      <c r="L233" s="491"/>
      <c r="M233" s="491"/>
      <c r="N233" s="491"/>
      <c r="O233" s="491"/>
      <c r="P233" s="491"/>
      <c r="Q233" s="491"/>
      <c r="R233" s="491"/>
      <c r="S233" s="491"/>
      <c r="T233" s="491"/>
      <c r="U233" s="491"/>
      <c r="V233" s="491"/>
      <c r="W233" s="491"/>
      <c r="X233" s="491"/>
    </row>
    <row r="234">
      <c r="A234" s="492">
        <v>45159.0</v>
      </c>
      <c r="B234" s="493" t="s">
        <v>831</v>
      </c>
      <c r="C234" s="484" t="s">
        <v>834</v>
      </c>
      <c r="D234" s="484"/>
      <c r="E234" s="485"/>
      <c r="F234" s="487">
        <v>35.94</v>
      </c>
      <c r="G234" s="487"/>
      <c r="H234" s="494">
        <v>1419623.23</v>
      </c>
      <c r="I234" s="494"/>
      <c r="J234" s="491"/>
      <c r="K234" s="491"/>
      <c r="L234" s="491"/>
      <c r="M234" s="491"/>
      <c r="N234" s="491"/>
      <c r="O234" s="491"/>
      <c r="P234" s="491"/>
      <c r="Q234" s="491"/>
      <c r="R234" s="491"/>
      <c r="S234" s="491"/>
      <c r="T234" s="491"/>
      <c r="U234" s="491"/>
      <c r="V234" s="491"/>
      <c r="W234" s="491"/>
      <c r="X234" s="491"/>
    </row>
    <row r="235">
      <c r="A235" s="492">
        <v>45159.0</v>
      </c>
      <c r="B235" s="493" t="s">
        <v>831</v>
      </c>
      <c r="C235" s="484" t="s">
        <v>835</v>
      </c>
      <c r="D235" s="484"/>
      <c r="E235" s="485"/>
      <c r="F235" s="487">
        <v>537.41</v>
      </c>
      <c r="G235" s="487"/>
      <c r="H235" s="494">
        <v>1419085.82</v>
      </c>
      <c r="I235" s="494"/>
      <c r="J235" s="491"/>
      <c r="K235" s="491"/>
      <c r="L235" s="491"/>
      <c r="M235" s="491"/>
      <c r="N235" s="491"/>
      <c r="O235" s="491"/>
      <c r="P235" s="491"/>
      <c r="Q235" s="491"/>
      <c r="R235" s="491"/>
      <c r="S235" s="491"/>
      <c r="T235" s="491"/>
      <c r="U235" s="491"/>
      <c r="V235" s="491"/>
      <c r="W235" s="491"/>
      <c r="X235" s="491"/>
    </row>
    <row r="236">
      <c r="A236" s="492">
        <v>45160.0</v>
      </c>
      <c r="B236" s="493" t="s">
        <v>836</v>
      </c>
      <c r="C236" s="484" t="s">
        <v>837</v>
      </c>
      <c r="D236" s="484"/>
      <c r="E236" s="485"/>
      <c r="F236" s="487">
        <v>99876.25</v>
      </c>
      <c r="G236" s="487"/>
      <c r="H236" s="494">
        <v>1319209.57</v>
      </c>
      <c r="I236" s="494"/>
      <c r="J236" s="491"/>
      <c r="K236" s="491"/>
      <c r="L236" s="491"/>
      <c r="M236" s="491"/>
      <c r="N236" s="491"/>
      <c r="O236" s="491"/>
      <c r="P236" s="491"/>
      <c r="Q236" s="491"/>
      <c r="R236" s="491"/>
      <c r="S236" s="491"/>
      <c r="T236" s="491"/>
      <c r="U236" s="491"/>
      <c r="V236" s="491"/>
      <c r="W236" s="491"/>
      <c r="X236" s="491"/>
    </row>
    <row r="237">
      <c r="A237" s="492">
        <v>45160.0</v>
      </c>
      <c r="B237" s="493" t="s">
        <v>836</v>
      </c>
      <c r="C237" s="484" t="s">
        <v>838</v>
      </c>
      <c r="D237" s="484"/>
      <c r="E237" s="484"/>
      <c r="F237" s="487">
        <v>49978.5</v>
      </c>
      <c r="G237" s="487"/>
      <c r="H237" s="494">
        <v>1269231.07</v>
      </c>
      <c r="I237" s="494"/>
      <c r="J237" s="491"/>
      <c r="K237" s="491"/>
      <c r="L237" s="491"/>
      <c r="M237" s="491"/>
      <c r="N237" s="491"/>
      <c r="O237" s="491"/>
      <c r="P237" s="491"/>
      <c r="Q237" s="491"/>
      <c r="R237" s="491"/>
      <c r="S237" s="491"/>
      <c r="T237" s="491"/>
      <c r="U237" s="491"/>
      <c r="V237" s="491"/>
      <c r="W237" s="491"/>
      <c r="X237" s="491"/>
    </row>
    <row r="238">
      <c r="A238" s="492">
        <v>45160.0</v>
      </c>
      <c r="B238" s="493" t="s">
        <v>836</v>
      </c>
      <c r="C238" s="484" t="s">
        <v>839</v>
      </c>
      <c r="D238" s="484"/>
      <c r="E238" s="484"/>
      <c r="F238" s="487">
        <v>1671.5</v>
      </c>
      <c r="G238" s="487"/>
      <c r="H238" s="494">
        <v>1267559.57</v>
      </c>
      <c r="I238" s="494"/>
      <c r="J238" s="491"/>
      <c r="K238" s="491"/>
      <c r="L238" s="491"/>
      <c r="M238" s="491"/>
      <c r="N238" s="491"/>
      <c r="O238" s="491"/>
      <c r="P238" s="491"/>
      <c r="Q238" s="491"/>
      <c r="R238" s="491"/>
      <c r="S238" s="491"/>
      <c r="T238" s="491"/>
      <c r="U238" s="491"/>
      <c r="V238" s="491"/>
      <c r="W238" s="491"/>
      <c r="X238" s="491"/>
    </row>
    <row r="239">
      <c r="A239" s="492">
        <v>45160.0</v>
      </c>
      <c r="B239" s="493" t="s">
        <v>836</v>
      </c>
      <c r="C239" s="484" t="s">
        <v>840</v>
      </c>
      <c r="D239" s="484"/>
      <c r="E239" s="484"/>
      <c r="F239" s="487">
        <v>25.0</v>
      </c>
      <c r="G239" s="487"/>
      <c r="H239" s="494">
        <v>1267534.57</v>
      </c>
      <c r="I239" s="494"/>
      <c r="J239" s="491"/>
      <c r="K239" s="491"/>
      <c r="L239" s="491"/>
      <c r="M239" s="491"/>
      <c r="N239" s="491"/>
      <c r="O239" s="491"/>
      <c r="P239" s="491"/>
      <c r="Q239" s="491"/>
      <c r="R239" s="491"/>
      <c r="S239" s="491"/>
      <c r="T239" s="491"/>
      <c r="U239" s="491"/>
      <c r="V239" s="491"/>
      <c r="W239" s="491"/>
      <c r="X239" s="491"/>
    </row>
    <row r="240">
      <c r="A240" s="492">
        <v>45160.0</v>
      </c>
      <c r="B240" s="493" t="s">
        <v>836</v>
      </c>
      <c r="C240" s="484" t="s">
        <v>841</v>
      </c>
      <c r="D240" s="484"/>
      <c r="E240" s="485"/>
      <c r="F240" s="487">
        <v>326.9</v>
      </c>
      <c r="G240" s="487"/>
      <c r="H240" s="494">
        <v>1267207.67</v>
      </c>
      <c r="I240" s="494"/>
      <c r="J240" s="491"/>
      <c r="K240" s="491"/>
      <c r="L240" s="491"/>
      <c r="M240" s="491"/>
      <c r="N240" s="491"/>
      <c r="O240" s="491"/>
      <c r="P240" s="491"/>
      <c r="Q240" s="491"/>
      <c r="R240" s="491"/>
      <c r="S240" s="491"/>
      <c r="T240" s="491"/>
      <c r="U240" s="491"/>
      <c r="V240" s="491"/>
      <c r="W240" s="491"/>
      <c r="X240" s="491"/>
    </row>
    <row r="241">
      <c r="A241" s="492">
        <v>45160.0</v>
      </c>
      <c r="B241" s="493" t="s">
        <v>836</v>
      </c>
      <c r="C241" s="484" t="s">
        <v>842</v>
      </c>
      <c r="D241" s="484"/>
      <c r="E241" s="485"/>
      <c r="F241" s="487">
        <v>2400.0</v>
      </c>
      <c r="G241" s="487"/>
      <c r="H241" s="494">
        <v>1264807.67</v>
      </c>
      <c r="I241" s="494"/>
      <c r="J241" s="491"/>
      <c r="K241" s="491"/>
      <c r="L241" s="491"/>
      <c r="M241" s="491"/>
      <c r="N241" s="491"/>
      <c r="O241" s="491"/>
      <c r="P241" s="491"/>
      <c r="Q241" s="491"/>
      <c r="R241" s="491"/>
      <c r="S241" s="491"/>
      <c r="T241" s="491"/>
      <c r="U241" s="491"/>
      <c r="V241" s="491"/>
      <c r="W241" s="491"/>
      <c r="X241" s="491"/>
    </row>
    <row r="242">
      <c r="A242" s="492">
        <v>45160.0</v>
      </c>
      <c r="B242" s="493" t="s">
        <v>836</v>
      </c>
      <c r="C242" s="484" t="s">
        <v>843</v>
      </c>
      <c r="D242" s="484"/>
      <c r="E242" s="485"/>
      <c r="F242" s="487">
        <v>2400.0</v>
      </c>
      <c r="G242" s="487"/>
      <c r="H242" s="494">
        <v>1262407.67</v>
      </c>
      <c r="I242" s="494"/>
      <c r="J242" s="491"/>
      <c r="K242" s="491"/>
      <c r="L242" s="491"/>
      <c r="M242" s="491"/>
      <c r="N242" s="491"/>
      <c r="O242" s="491"/>
      <c r="P242" s="491"/>
      <c r="Q242" s="491"/>
      <c r="R242" s="491"/>
      <c r="S242" s="491"/>
      <c r="T242" s="491"/>
      <c r="U242" s="491"/>
      <c r="V242" s="491"/>
      <c r="W242" s="491"/>
      <c r="X242" s="491"/>
    </row>
    <row r="243">
      <c r="A243" s="492">
        <v>45160.0</v>
      </c>
      <c r="B243" s="493" t="s">
        <v>836</v>
      </c>
      <c r="C243" s="484" t="s">
        <v>844</v>
      </c>
      <c r="D243" s="484"/>
      <c r="E243" s="484"/>
      <c r="F243" s="487">
        <v>52.5</v>
      </c>
      <c r="G243" s="487"/>
      <c r="H243" s="494">
        <v>1262355.17</v>
      </c>
      <c r="I243" s="494"/>
      <c r="J243" s="491"/>
      <c r="K243" s="491"/>
      <c r="L243" s="491"/>
      <c r="M243" s="491"/>
      <c r="N243" s="491"/>
      <c r="O243" s="491"/>
      <c r="P243" s="491"/>
      <c r="Q243" s="491"/>
      <c r="R243" s="491"/>
      <c r="S243" s="491"/>
      <c r="T243" s="491"/>
      <c r="U243" s="491"/>
      <c r="V243" s="491"/>
      <c r="W243" s="491"/>
      <c r="X243" s="491"/>
    </row>
    <row r="244">
      <c r="A244" s="496">
        <v>45160.0</v>
      </c>
      <c r="B244" s="497" t="s">
        <v>836</v>
      </c>
      <c r="C244" s="498" t="s">
        <v>727</v>
      </c>
      <c r="D244" s="498"/>
      <c r="E244" s="499"/>
      <c r="F244" s="500">
        <v>2516.1</v>
      </c>
      <c r="G244" s="500"/>
      <c r="H244" s="501">
        <v>1259839.07</v>
      </c>
      <c r="I244" s="500" t="s">
        <v>845</v>
      </c>
      <c r="J244" s="491"/>
      <c r="K244" s="491"/>
      <c r="L244" s="491"/>
      <c r="M244" s="491"/>
      <c r="N244" s="491"/>
      <c r="O244" s="491"/>
      <c r="P244" s="491"/>
      <c r="Q244" s="491"/>
      <c r="R244" s="491"/>
      <c r="S244" s="491"/>
      <c r="T244" s="491"/>
      <c r="U244" s="491"/>
      <c r="V244" s="491"/>
      <c r="W244" s="491"/>
      <c r="X244" s="491"/>
    </row>
    <row r="245">
      <c r="A245" s="492">
        <v>45160.0</v>
      </c>
      <c r="B245" s="493" t="s">
        <v>836</v>
      </c>
      <c r="C245" s="484" t="s">
        <v>846</v>
      </c>
      <c r="D245" s="484"/>
      <c r="E245" s="484"/>
      <c r="F245" s="487">
        <v>6750.0</v>
      </c>
      <c r="G245" s="487"/>
      <c r="H245" s="494">
        <v>1253089.07</v>
      </c>
      <c r="I245" s="494"/>
      <c r="J245" s="491"/>
      <c r="K245" s="491"/>
      <c r="L245" s="491"/>
      <c r="M245" s="491"/>
      <c r="N245" s="491"/>
      <c r="O245" s="491"/>
      <c r="P245" s="491"/>
      <c r="Q245" s="491"/>
      <c r="R245" s="491"/>
      <c r="S245" s="491"/>
      <c r="T245" s="491"/>
      <c r="U245" s="491"/>
      <c r="V245" s="491"/>
      <c r="W245" s="491"/>
      <c r="X245" s="491"/>
    </row>
    <row r="246">
      <c r="A246" s="492">
        <v>45160.0</v>
      </c>
      <c r="B246" s="493" t="s">
        <v>836</v>
      </c>
      <c r="C246" s="484" t="s">
        <v>847</v>
      </c>
      <c r="D246" s="484"/>
      <c r="E246" s="484"/>
      <c r="F246" s="487">
        <v>7830.69</v>
      </c>
      <c r="G246" s="487"/>
      <c r="H246" s="494">
        <v>1245258.38</v>
      </c>
      <c r="I246" s="494"/>
      <c r="J246" s="491"/>
      <c r="K246" s="491"/>
      <c r="L246" s="491"/>
      <c r="M246" s="491"/>
      <c r="N246" s="491"/>
      <c r="O246" s="491"/>
      <c r="P246" s="491"/>
      <c r="Q246" s="491"/>
      <c r="R246" s="491"/>
      <c r="S246" s="491"/>
      <c r="T246" s="491"/>
      <c r="U246" s="491"/>
      <c r="V246" s="491"/>
      <c r="W246" s="491"/>
      <c r="X246" s="491"/>
    </row>
    <row r="247">
      <c r="A247" s="492">
        <v>45160.0</v>
      </c>
      <c r="B247" s="493" t="s">
        <v>836</v>
      </c>
      <c r="C247" s="484" t="s">
        <v>847</v>
      </c>
      <c r="D247" s="484"/>
      <c r="E247" s="484"/>
      <c r="F247" s="487">
        <v>3211.63</v>
      </c>
      <c r="G247" s="487"/>
      <c r="H247" s="494">
        <v>1242046.75</v>
      </c>
      <c r="I247" s="494"/>
      <c r="J247" s="491"/>
      <c r="K247" s="491"/>
      <c r="L247" s="491"/>
      <c r="M247" s="491"/>
      <c r="N247" s="491"/>
      <c r="O247" s="491"/>
      <c r="P247" s="491"/>
      <c r="Q247" s="491"/>
      <c r="R247" s="491"/>
      <c r="S247" s="491"/>
      <c r="T247" s="491"/>
      <c r="U247" s="491"/>
      <c r="V247" s="491"/>
      <c r="W247" s="491"/>
      <c r="X247" s="491"/>
    </row>
    <row r="248">
      <c r="A248" s="492">
        <v>45160.0</v>
      </c>
      <c r="B248" s="493" t="s">
        <v>836</v>
      </c>
      <c r="C248" s="484" t="s">
        <v>848</v>
      </c>
      <c r="D248" s="484"/>
      <c r="E248" s="484"/>
      <c r="F248" s="487">
        <v>829.8</v>
      </c>
      <c r="G248" s="487"/>
      <c r="H248" s="494">
        <v>1241216.95</v>
      </c>
      <c r="I248" s="494"/>
      <c r="J248" s="491"/>
      <c r="K248" s="491"/>
      <c r="L248" s="491"/>
      <c r="M248" s="491"/>
      <c r="N248" s="491"/>
      <c r="O248" s="491"/>
      <c r="P248" s="491"/>
      <c r="Q248" s="491"/>
      <c r="R248" s="491"/>
      <c r="S248" s="491"/>
      <c r="T248" s="491"/>
      <c r="U248" s="491"/>
      <c r="V248" s="491"/>
      <c r="W248" s="491"/>
      <c r="X248" s="491"/>
    </row>
    <row r="249">
      <c r="A249" s="492">
        <v>45160.0</v>
      </c>
      <c r="B249" s="493" t="s">
        <v>836</v>
      </c>
      <c r="C249" s="484" t="s">
        <v>849</v>
      </c>
      <c r="D249" s="484"/>
      <c r="E249" s="484"/>
      <c r="F249" s="487">
        <v>511.51</v>
      </c>
      <c r="G249" s="487"/>
      <c r="H249" s="494">
        <v>1240705.44</v>
      </c>
      <c r="I249" s="494"/>
      <c r="J249" s="491"/>
      <c r="K249" s="491"/>
      <c r="L249" s="491"/>
      <c r="M249" s="491"/>
      <c r="N249" s="491"/>
      <c r="O249" s="491"/>
      <c r="P249" s="491"/>
      <c r="Q249" s="491"/>
      <c r="R249" s="491"/>
      <c r="S249" s="491"/>
      <c r="T249" s="491"/>
      <c r="U249" s="491"/>
      <c r="V249" s="491"/>
      <c r="W249" s="491"/>
      <c r="X249" s="491"/>
    </row>
    <row r="250">
      <c r="A250" s="492">
        <v>45160.0</v>
      </c>
      <c r="B250" s="493" t="s">
        <v>836</v>
      </c>
      <c r="C250" s="484" t="s">
        <v>850</v>
      </c>
      <c r="D250" s="484"/>
      <c r="E250" s="484"/>
      <c r="F250" s="487">
        <v>2000.0</v>
      </c>
      <c r="G250" s="487"/>
      <c r="H250" s="494">
        <v>1238705.44</v>
      </c>
      <c r="I250" s="494"/>
      <c r="J250" s="491"/>
      <c r="K250" s="491"/>
      <c r="L250" s="491"/>
      <c r="M250" s="491"/>
      <c r="N250" s="491"/>
      <c r="O250" s="491"/>
      <c r="P250" s="491"/>
      <c r="Q250" s="491"/>
      <c r="R250" s="491"/>
      <c r="S250" s="491"/>
      <c r="T250" s="491"/>
      <c r="U250" s="491"/>
      <c r="V250" s="491"/>
      <c r="W250" s="491"/>
      <c r="X250" s="491"/>
    </row>
    <row r="251">
      <c r="A251" s="492">
        <v>45160.0</v>
      </c>
      <c r="B251" s="493" t="s">
        <v>836</v>
      </c>
      <c r="C251" s="484" t="s">
        <v>851</v>
      </c>
      <c r="D251" s="484"/>
      <c r="E251" s="484"/>
      <c r="F251" s="487">
        <v>14501.39</v>
      </c>
      <c r="G251" s="487"/>
      <c r="H251" s="494">
        <v>1224204.05</v>
      </c>
      <c r="I251" s="494"/>
      <c r="J251" s="491"/>
      <c r="K251" s="491"/>
      <c r="L251" s="491"/>
      <c r="M251" s="491"/>
      <c r="N251" s="491"/>
      <c r="O251" s="491"/>
      <c r="P251" s="491"/>
      <c r="Q251" s="491"/>
      <c r="R251" s="491"/>
      <c r="S251" s="491"/>
      <c r="T251" s="491"/>
      <c r="U251" s="491"/>
      <c r="V251" s="491"/>
      <c r="W251" s="491"/>
      <c r="X251" s="491"/>
    </row>
    <row r="252">
      <c r="A252" s="492">
        <v>45160.0</v>
      </c>
      <c r="B252" s="493" t="s">
        <v>852</v>
      </c>
      <c r="C252" s="484" t="s">
        <v>784</v>
      </c>
      <c r="D252" s="484"/>
      <c r="E252" s="484"/>
      <c r="F252" s="487">
        <v>15.9</v>
      </c>
      <c r="G252" s="487"/>
      <c r="H252" s="494">
        <v>1224188.15</v>
      </c>
      <c r="I252" s="494"/>
      <c r="J252" s="491"/>
      <c r="K252" s="491"/>
      <c r="L252" s="491"/>
      <c r="M252" s="491"/>
      <c r="N252" s="491"/>
      <c r="O252" s="491"/>
      <c r="P252" s="491"/>
      <c r="Q252" s="491"/>
      <c r="R252" s="491"/>
      <c r="S252" s="491"/>
      <c r="T252" s="491"/>
      <c r="U252" s="491"/>
      <c r="V252" s="491"/>
      <c r="W252" s="491"/>
      <c r="X252" s="491"/>
    </row>
    <row r="253">
      <c r="A253" s="492">
        <v>45160.0</v>
      </c>
      <c r="B253" s="493" t="s">
        <v>852</v>
      </c>
      <c r="C253" s="484" t="s">
        <v>784</v>
      </c>
      <c r="D253" s="484"/>
      <c r="E253" s="484"/>
      <c r="F253" s="487">
        <v>16.45</v>
      </c>
      <c r="G253" s="487"/>
      <c r="H253" s="494">
        <v>1224171.7</v>
      </c>
      <c r="I253" s="494"/>
      <c r="J253" s="491"/>
      <c r="K253" s="491"/>
      <c r="L253" s="491"/>
      <c r="M253" s="491"/>
      <c r="N253" s="491"/>
      <c r="O253" s="491"/>
      <c r="P253" s="491"/>
      <c r="Q253" s="491"/>
      <c r="R253" s="491"/>
      <c r="S253" s="491"/>
      <c r="T253" s="491"/>
      <c r="U253" s="491"/>
      <c r="V253" s="491"/>
      <c r="W253" s="491"/>
      <c r="X253" s="491"/>
    </row>
    <row r="254">
      <c r="A254" s="492">
        <v>45160.0</v>
      </c>
      <c r="B254" s="493" t="s">
        <v>852</v>
      </c>
      <c r="C254" s="484" t="s">
        <v>833</v>
      </c>
      <c r="D254" s="484"/>
      <c r="E254" s="484"/>
      <c r="F254" s="487">
        <v>449.74</v>
      </c>
      <c r="G254" s="487"/>
      <c r="H254" s="494">
        <v>1223721.96</v>
      </c>
      <c r="I254" s="494"/>
      <c r="J254" s="491"/>
      <c r="K254" s="491"/>
      <c r="L254" s="491"/>
      <c r="M254" s="491"/>
      <c r="N254" s="491"/>
      <c r="O254" s="491"/>
      <c r="P254" s="491"/>
      <c r="Q254" s="491"/>
      <c r="R254" s="491"/>
      <c r="S254" s="491"/>
      <c r="T254" s="491"/>
      <c r="U254" s="491"/>
      <c r="V254" s="491"/>
      <c r="W254" s="491"/>
      <c r="X254" s="491"/>
    </row>
    <row r="255">
      <c r="A255" s="492">
        <v>45160.0</v>
      </c>
      <c r="B255" s="493" t="s">
        <v>852</v>
      </c>
      <c r="C255" s="484" t="s">
        <v>833</v>
      </c>
      <c r="D255" s="484"/>
      <c r="E255" s="484"/>
      <c r="F255" s="487">
        <v>144.42</v>
      </c>
      <c r="G255" s="487"/>
      <c r="H255" s="494">
        <v>1223577.54</v>
      </c>
      <c r="I255" s="494"/>
      <c r="J255" s="491"/>
      <c r="K255" s="491"/>
      <c r="L255" s="491"/>
      <c r="M255" s="491"/>
      <c r="N255" s="491"/>
      <c r="O255" s="491"/>
      <c r="P255" s="491"/>
      <c r="Q255" s="491"/>
      <c r="R255" s="491"/>
      <c r="S255" s="491"/>
      <c r="T255" s="491"/>
      <c r="U255" s="491"/>
      <c r="V255" s="491"/>
      <c r="W255" s="491"/>
      <c r="X255" s="491"/>
    </row>
    <row r="256">
      <c r="A256" s="492">
        <v>45160.0</v>
      </c>
      <c r="B256" s="493" t="s">
        <v>852</v>
      </c>
      <c r="C256" s="484" t="s">
        <v>833</v>
      </c>
      <c r="D256" s="484"/>
      <c r="E256" s="484"/>
      <c r="F256" s="487">
        <v>36.72</v>
      </c>
      <c r="G256" s="487"/>
      <c r="H256" s="494">
        <v>1223540.82</v>
      </c>
      <c r="I256" s="494"/>
      <c r="J256" s="491"/>
      <c r="K256" s="491"/>
      <c r="L256" s="491"/>
      <c r="M256" s="491"/>
      <c r="N256" s="491"/>
      <c r="O256" s="491"/>
      <c r="P256" s="491"/>
      <c r="Q256" s="491"/>
      <c r="R256" s="491"/>
      <c r="S256" s="491"/>
      <c r="T256" s="491"/>
      <c r="U256" s="491"/>
      <c r="V256" s="491"/>
      <c r="W256" s="491"/>
      <c r="X256" s="491"/>
    </row>
    <row r="257">
      <c r="A257" s="492">
        <v>45160.0</v>
      </c>
      <c r="B257" s="493" t="s">
        <v>852</v>
      </c>
      <c r="C257" s="484" t="s">
        <v>786</v>
      </c>
      <c r="D257" s="484"/>
      <c r="E257" s="484"/>
      <c r="F257" s="487">
        <v>44.3</v>
      </c>
      <c r="G257" s="487"/>
      <c r="H257" s="494">
        <v>1223496.52</v>
      </c>
      <c r="I257" s="494"/>
      <c r="J257" s="491"/>
      <c r="K257" s="491"/>
      <c r="L257" s="491"/>
      <c r="M257" s="491"/>
      <c r="N257" s="491"/>
      <c r="O257" s="491"/>
      <c r="P257" s="491"/>
      <c r="Q257" s="491"/>
      <c r="R257" s="491"/>
      <c r="S257" s="491"/>
      <c r="T257" s="491"/>
      <c r="U257" s="491"/>
      <c r="V257" s="491"/>
      <c r="W257" s="491"/>
      <c r="X257" s="491"/>
    </row>
    <row r="258">
      <c r="A258" s="492">
        <v>45160.0</v>
      </c>
      <c r="B258" s="493" t="s">
        <v>852</v>
      </c>
      <c r="C258" s="484" t="s">
        <v>833</v>
      </c>
      <c r="D258" s="484"/>
      <c r="E258" s="484"/>
      <c r="F258" s="487">
        <v>108.43</v>
      </c>
      <c r="G258" s="487"/>
      <c r="H258" s="494">
        <v>1223388.09</v>
      </c>
      <c r="I258" s="494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</row>
    <row r="259">
      <c r="A259" s="492">
        <v>45160.0</v>
      </c>
      <c r="B259" s="493" t="s">
        <v>852</v>
      </c>
      <c r="C259" s="484" t="s">
        <v>853</v>
      </c>
      <c r="D259" s="484"/>
      <c r="E259" s="484"/>
      <c r="F259" s="487">
        <v>41.9</v>
      </c>
      <c r="G259" s="487"/>
      <c r="H259" s="494">
        <v>1223346.19</v>
      </c>
      <c r="I259" s="494"/>
      <c r="J259" s="491"/>
      <c r="K259" s="491"/>
      <c r="L259" s="491"/>
      <c r="M259" s="491"/>
      <c r="N259" s="491"/>
      <c r="O259" s="491"/>
      <c r="P259" s="491"/>
      <c r="Q259" s="491"/>
      <c r="R259" s="491"/>
      <c r="S259" s="491"/>
      <c r="T259" s="491"/>
      <c r="U259" s="491"/>
      <c r="V259" s="491"/>
      <c r="W259" s="491"/>
      <c r="X259" s="491"/>
    </row>
    <row r="260">
      <c r="A260" s="492">
        <v>45160.0</v>
      </c>
      <c r="B260" s="493" t="s">
        <v>852</v>
      </c>
      <c r="C260" s="484" t="s">
        <v>854</v>
      </c>
      <c r="D260" s="484"/>
      <c r="E260" s="484"/>
      <c r="F260" s="487">
        <v>279.1</v>
      </c>
      <c r="G260" s="487"/>
      <c r="H260" s="494">
        <v>1223067.09</v>
      </c>
      <c r="I260" s="494"/>
      <c r="J260" s="491"/>
      <c r="K260" s="491"/>
      <c r="L260" s="491"/>
      <c r="M260" s="491"/>
      <c r="N260" s="491"/>
      <c r="O260" s="491"/>
      <c r="P260" s="491"/>
      <c r="Q260" s="491"/>
      <c r="R260" s="491"/>
      <c r="S260" s="491"/>
      <c r="T260" s="491"/>
      <c r="U260" s="491"/>
      <c r="V260" s="491"/>
      <c r="W260" s="491"/>
      <c r="X260" s="491"/>
    </row>
    <row r="261">
      <c r="A261" s="492">
        <v>45160.0</v>
      </c>
      <c r="B261" s="493" t="s">
        <v>852</v>
      </c>
      <c r="C261" s="484" t="s">
        <v>855</v>
      </c>
      <c r="D261" s="484"/>
      <c r="E261" s="484"/>
      <c r="F261" s="487">
        <v>325.98</v>
      </c>
      <c r="G261" s="487"/>
      <c r="H261" s="494">
        <v>1222741.11</v>
      </c>
      <c r="I261" s="494"/>
      <c r="J261" s="491"/>
      <c r="K261" s="491"/>
      <c r="L261" s="491"/>
      <c r="M261" s="491"/>
      <c r="N261" s="491"/>
      <c r="O261" s="491"/>
      <c r="P261" s="491"/>
      <c r="Q261" s="491"/>
      <c r="R261" s="491"/>
      <c r="S261" s="491"/>
      <c r="T261" s="491"/>
      <c r="U261" s="491"/>
      <c r="V261" s="491"/>
      <c r="W261" s="491"/>
      <c r="X261" s="491"/>
    </row>
    <row r="262">
      <c r="A262" s="492">
        <v>45160.0</v>
      </c>
      <c r="B262" s="493" t="s">
        <v>852</v>
      </c>
      <c r="C262" s="484" t="s">
        <v>833</v>
      </c>
      <c r="D262" s="484"/>
      <c r="E262" s="484"/>
      <c r="F262" s="487">
        <v>557.45</v>
      </c>
      <c r="G262" s="487"/>
      <c r="H262" s="494">
        <v>1222183.66</v>
      </c>
      <c r="I262" s="494"/>
      <c r="J262" s="491"/>
      <c r="K262" s="491"/>
      <c r="L262" s="491"/>
      <c r="M262" s="491"/>
      <c r="N262" s="491"/>
      <c r="O262" s="491"/>
      <c r="P262" s="491"/>
      <c r="Q262" s="491"/>
      <c r="R262" s="491"/>
      <c r="S262" s="491"/>
      <c r="T262" s="491"/>
      <c r="U262" s="491"/>
      <c r="V262" s="491"/>
      <c r="W262" s="491"/>
      <c r="X262" s="491"/>
    </row>
    <row r="263">
      <c r="A263" s="492">
        <v>45160.0</v>
      </c>
      <c r="B263" s="493" t="s">
        <v>852</v>
      </c>
      <c r="C263" s="484" t="s">
        <v>856</v>
      </c>
      <c r="D263" s="484"/>
      <c r="E263" s="484"/>
      <c r="F263" s="487">
        <v>216.32</v>
      </c>
      <c r="G263" s="487"/>
      <c r="H263" s="494">
        <v>1221967.34</v>
      </c>
      <c r="I263" s="494"/>
      <c r="J263" s="491"/>
      <c r="K263" s="491"/>
      <c r="L263" s="491"/>
      <c r="M263" s="491"/>
      <c r="N263" s="491"/>
      <c r="O263" s="491"/>
      <c r="P263" s="491"/>
      <c r="Q263" s="491"/>
      <c r="R263" s="491"/>
      <c r="S263" s="491"/>
      <c r="T263" s="491"/>
      <c r="U263" s="491"/>
      <c r="V263" s="491"/>
      <c r="W263" s="491"/>
      <c r="X263" s="491"/>
    </row>
    <row r="264">
      <c r="A264" s="492">
        <v>45160.0</v>
      </c>
      <c r="B264" s="493" t="s">
        <v>852</v>
      </c>
      <c r="C264" s="484" t="s">
        <v>857</v>
      </c>
      <c r="D264" s="484"/>
      <c r="E264" s="484"/>
      <c r="F264" s="487">
        <v>93.0</v>
      </c>
      <c r="G264" s="487"/>
      <c r="H264" s="494">
        <v>1221874.34</v>
      </c>
      <c r="I264" s="494"/>
      <c r="J264" s="491"/>
      <c r="K264" s="491"/>
      <c r="L264" s="491"/>
      <c r="M264" s="491"/>
      <c r="N264" s="491"/>
      <c r="O264" s="491"/>
      <c r="P264" s="491"/>
      <c r="Q264" s="491"/>
      <c r="R264" s="491"/>
      <c r="S264" s="491"/>
      <c r="T264" s="491"/>
      <c r="U264" s="491"/>
      <c r="V264" s="491"/>
      <c r="W264" s="491"/>
      <c r="X264" s="491"/>
    </row>
    <row r="265">
      <c r="A265" s="492">
        <v>45160.0</v>
      </c>
      <c r="B265" s="493" t="s">
        <v>852</v>
      </c>
      <c r="C265" s="484" t="s">
        <v>858</v>
      </c>
      <c r="D265" s="484"/>
      <c r="E265" s="484"/>
      <c r="F265" s="487">
        <v>126.0</v>
      </c>
      <c r="G265" s="487"/>
      <c r="H265" s="494">
        <v>1221748.34</v>
      </c>
      <c r="I265" s="494"/>
      <c r="J265" s="491"/>
      <c r="K265" s="491"/>
      <c r="L265" s="491"/>
      <c r="M265" s="491"/>
      <c r="N265" s="491"/>
      <c r="O265" s="491"/>
      <c r="P265" s="491"/>
      <c r="Q265" s="491"/>
      <c r="R265" s="491"/>
      <c r="S265" s="491"/>
      <c r="T265" s="491"/>
      <c r="U265" s="491"/>
      <c r="V265" s="491"/>
      <c r="W265" s="491"/>
      <c r="X265" s="491"/>
    </row>
    <row r="266">
      <c r="A266" s="492">
        <v>45160.0</v>
      </c>
      <c r="B266" s="493" t="s">
        <v>859</v>
      </c>
      <c r="C266" s="484" t="s">
        <v>860</v>
      </c>
      <c r="D266" s="484"/>
      <c r="E266" s="484"/>
      <c r="F266" s="487"/>
      <c r="G266" s="487">
        <v>3.25</v>
      </c>
      <c r="H266" s="494">
        <v>1221751.59</v>
      </c>
      <c r="I266" s="494"/>
      <c r="J266" s="491"/>
      <c r="K266" s="491"/>
      <c r="L266" s="491"/>
      <c r="M266" s="491"/>
      <c r="N266" s="491"/>
      <c r="O266" s="491"/>
      <c r="P266" s="491"/>
      <c r="Q266" s="491"/>
      <c r="R266" s="491"/>
      <c r="S266" s="491"/>
      <c r="T266" s="491"/>
      <c r="U266" s="491"/>
      <c r="V266" s="491"/>
      <c r="W266" s="491"/>
      <c r="X266" s="491"/>
    </row>
    <row r="267">
      <c r="A267" s="492">
        <v>45161.0</v>
      </c>
      <c r="B267" s="493"/>
      <c r="C267" s="484" t="s">
        <v>833</v>
      </c>
      <c r="D267" s="484"/>
      <c r="E267" s="484"/>
      <c r="F267" s="487">
        <v>26.98</v>
      </c>
      <c r="G267" s="487"/>
      <c r="H267" s="494">
        <v>1221724.61</v>
      </c>
      <c r="I267" s="494"/>
      <c r="J267" s="491"/>
      <c r="K267" s="491"/>
      <c r="L267" s="491"/>
      <c r="M267" s="491"/>
      <c r="N267" s="491"/>
      <c r="O267" s="491"/>
      <c r="P267" s="491"/>
      <c r="Q267" s="491"/>
      <c r="R267" s="491"/>
      <c r="S267" s="491"/>
      <c r="T267" s="491"/>
      <c r="U267" s="491"/>
      <c r="V267" s="491"/>
      <c r="W267" s="491"/>
      <c r="X267" s="491"/>
    </row>
    <row r="268">
      <c r="A268" s="492">
        <v>45161.0</v>
      </c>
      <c r="B268" s="493" t="s">
        <v>861</v>
      </c>
      <c r="C268" s="484" t="s">
        <v>833</v>
      </c>
      <c r="D268" s="484"/>
      <c r="E268" s="484"/>
      <c r="F268" s="487">
        <v>29.99</v>
      </c>
      <c r="G268" s="487"/>
      <c r="H268" s="494">
        <v>1221694.62</v>
      </c>
      <c r="I268" s="494"/>
      <c r="J268" s="491"/>
      <c r="K268" s="491"/>
      <c r="L268" s="491"/>
      <c r="M268" s="491"/>
      <c r="N268" s="491"/>
      <c r="O268" s="491"/>
      <c r="P268" s="491"/>
      <c r="Q268" s="491"/>
      <c r="R268" s="491"/>
      <c r="S268" s="491"/>
      <c r="T268" s="491"/>
      <c r="U268" s="491"/>
      <c r="V268" s="491"/>
      <c r="W268" s="491"/>
      <c r="X268" s="491"/>
    </row>
    <row r="269">
      <c r="A269" s="492">
        <v>45161.0</v>
      </c>
      <c r="B269" s="493" t="s">
        <v>861</v>
      </c>
      <c r="C269" s="484" t="s">
        <v>833</v>
      </c>
      <c r="D269" s="484"/>
      <c r="E269" s="484"/>
      <c r="F269" s="487">
        <v>26.99</v>
      </c>
      <c r="G269" s="487"/>
      <c r="H269" s="494">
        <v>1221667.63</v>
      </c>
      <c r="I269" s="494"/>
      <c r="J269" s="491"/>
      <c r="K269" s="491"/>
      <c r="L269" s="491"/>
      <c r="M269" s="491"/>
      <c r="N269" s="491"/>
      <c r="O269" s="491"/>
      <c r="P269" s="491"/>
      <c r="Q269" s="491"/>
      <c r="R269" s="491"/>
      <c r="S269" s="491"/>
      <c r="T269" s="491"/>
      <c r="U269" s="491"/>
      <c r="V269" s="491"/>
      <c r="W269" s="491"/>
      <c r="X269" s="491"/>
    </row>
    <row r="270">
      <c r="A270" s="492">
        <v>45161.0</v>
      </c>
      <c r="B270" s="493" t="s">
        <v>861</v>
      </c>
      <c r="C270" s="484" t="s">
        <v>833</v>
      </c>
      <c r="D270" s="484"/>
      <c r="E270" s="484"/>
      <c r="F270" s="487">
        <v>6.92</v>
      </c>
      <c r="G270" s="487"/>
      <c r="H270" s="494">
        <v>1221660.71</v>
      </c>
      <c r="I270" s="494"/>
      <c r="J270" s="491"/>
      <c r="K270" s="491"/>
      <c r="L270" s="491"/>
      <c r="M270" s="491"/>
      <c r="N270" s="491"/>
      <c r="O270" s="491"/>
      <c r="P270" s="491"/>
      <c r="Q270" s="491"/>
      <c r="R270" s="491"/>
      <c r="S270" s="491"/>
      <c r="T270" s="491"/>
      <c r="U270" s="491"/>
      <c r="V270" s="491"/>
      <c r="W270" s="491"/>
      <c r="X270" s="491"/>
    </row>
    <row r="271">
      <c r="A271" s="492">
        <v>45161.0</v>
      </c>
      <c r="B271" s="493" t="s">
        <v>861</v>
      </c>
      <c r="C271" s="484" t="s">
        <v>833</v>
      </c>
      <c r="D271" s="484"/>
      <c r="E271" s="484"/>
      <c r="F271" s="487">
        <v>19.9</v>
      </c>
      <c r="G271" s="487"/>
      <c r="H271" s="494">
        <v>1221640.81</v>
      </c>
      <c r="I271" s="494"/>
      <c r="J271" s="491"/>
      <c r="K271" s="491"/>
      <c r="L271" s="491"/>
      <c r="M271" s="491"/>
      <c r="N271" s="491"/>
      <c r="O271" s="491"/>
      <c r="P271" s="491"/>
      <c r="Q271" s="491"/>
      <c r="R271" s="491"/>
      <c r="S271" s="491"/>
      <c r="T271" s="491"/>
      <c r="U271" s="491"/>
      <c r="V271" s="491"/>
      <c r="W271" s="491"/>
      <c r="X271" s="491"/>
    </row>
    <row r="272">
      <c r="A272" s="492">
        <v>45161.0</v>
      </c>
      <c r="B272" s="493" t="s">
        <v>861</v>
      </c>
      <c r="C272" s="484" t="s">
        <v>833</v>
      </c>
      <c r="D272" s="484"/>
      <c r="E272" s="484"/>
      <c r="F272" s="487">
        <v>17.97</v>
      </c>
      <c r="G272" s="487"/>
      <c r="H272" s="494">
        <v>1221622.84</v>
      </c>
      <c r="I272" s="494"/>
      <c r="J272" s="491"/>
      <c r="K272" s="491"/>
      <c r="L272" s="491"/>
      <c r="M272" s="491"/>
      <c r="N272" s="491"/>
      <c r="O272" s="491"/>
      <c r="P272" s="491"/>
      <c r="Q272" s="491"/>
      <c r="R272" s="491"/>
      <c r="S272" s="491"/>
      <c r="T272" s="491"/>
      <c r="U272" s="491"/>
      <c r="V272" s="491"/>
      <c r="W272" s="491"/>
      <c r="X272" s="491"/>
    </row>
    <row r="273">
      <c r="A273" s="492">
        <v>45161.0</v>
      </c>
      <c r="B273" s="493" t="s">
        <v>861</v>
      </c>
      <c r="C273" s="484" t="s">
        <v>833</v>
      </c>
      <c r="D273" s="484"/>
      <c r="E273" s="484"/>
      <c r="F273" s="487">
        <v>6.99</v>
      </c>
      <c r="G273" s="487"/>
      <c r="H273" s="494">
        <v>1221615.85</v>
      </c>
      <c r="I273" s="494"/>
      <c r="J273" s="491"/>
      <c r="K273" s="491"/>
      <c r="L273" s="491"/>
      <c r="M273" s="491"/>
      <c r="N273" s="491"/>
      <c r="O273" s="491"/>
      <c r="P273" s="491"/>
      <c r="Q273" s="491"/>
      <c r="R273" s="491"/>
      <c r="S273" s="491"/>
      <c r="T273" s="491"/>
      <c r="U273" s="491"/>
      <c r="V273" s="491"/>
      <c r="W273" s="491"/>
      <c r="X273" s="491"/>
    </row>
    <row r="274">
      <c r="A274" s="492">
        <v>45161.0</v>
      </c>
      <c r="B274" s="493" t="s">
        <v>861</v>
      </c>
      <c r="C274" s="484" t="s">
        <v>862</v>
      </c>
      <c r="D274" s="484"/>
      <c r="E274" s="484"/>
      <c r="F274" s="487">
        <v>18.99</v>
      </c>
      <c r="G274" s="487"/>
      <c r="H274" s="494">
        <v>1221596.86</v>
      </c>
      <c r="I274" s="494"/>
      <c r="J274" s="491"/>
      <c r="K274" s="491"/>
      <c r="L274" s="491"/>
      <c r="M274" s="491"/>
      <c r="N274" s="491"/>
      <c r="O274" s="491"/>
      <c r="P274" s="491"/>
      <c r="Q274" s="491"/>
      <c r="R274" s="491"/>
      <c r="S274" s="491"/>
      <c r="T274" s="491"/>
      <c r="U274" s="491"/>
      <c r="V274" s="491"/>
      <c r="W274" s="491"/>
      <c r="X274" s="491"/>
    </row>
    <row r="275">
      <c r="A275" s="492">
        <v>45161.0</v>
      </c>
      <c r="B275" s="493" t="s">
        <v>861</v>
      </c>
      <c r="C275" s="484" t="s">
        <v>862</v>
      </c>
      <c r="D275" s="484"/>
      <c r="E275" s="484"/>
      <c r="F275" s="487">
        <v>14.99</v>
      </c>
      <c r="G275" s="487"/>
      <c r="H275" s="494">
        <v>1221581.87</v>
      </c>
      <c r="I275" s="494"/>
      <c r="J275" s="491"/>
      <c r="K275" s="491"/>
      <c r="L275" s="491"/>
      <c r="M275" s="491"/>
      <c r="N275" s="491"/>
      <c r="O275" s="491"/>
      <c r="P275" s="491"/>
      <c r="Q275" s="491"/>
      <c r="R275" s="491"/>
      <c r="S275" s="491"/>
      <c r="T275" s="491"/>
      <c r="U275" s="491"/>
      <c r="V275" s="491"/>
      <c r="W275" s="491"/>
      <c r="X275" s="491"/>
    </row>
    <row r="276">
      <c r="A276" s="492">
        <v>45161.0</v>
      </c>
      <c r="B276" s="493" t="s">
        <v>861</v>
      </c>
      <c r="C276" s="484" t="s">
        <v>863</v>
      </c>
      <c r="D276" s="484"/>
      <c r="E276" s="484"/>
      <c r="F276" s="487">
        <v>66.48</v>
      </c>
      <c r="G276" s="487"/>
      <c r="H276" s="494">
        <v>1221515.39</v>
      </c>
      <c r="I276" s="494"/>
      <c r="J276" s="491"/>
      <c r="K276" s="491"/>
      <c r="L276" s="491"/>
      <c r="M276" s="491"/>
      <c r="N276" s="491"/>
      <c r="O276" s="491"/>
      <c r="P276" s="491"/>
      <c r="Q276" s="491"/>
      <c r="R276" s="491"/>
      <c r="S276" s="491"/>
      <c r="T276" s="491"/>
      <c r="U276" s="491"/>
      <c r="V276" s="491"/>
      <c r="W276" s="491"/>
      <c r="X276" s="491"/>
    </row>
    <row r="277">
      <c r="A277" s="492">
        <v>45161.0</v>
      </c>
      <c r="B277" s="493" t="s">
        <v>861</v>
      </c>
      <c r="C277" s="484" t="s">
        <v>864</v>
      </c>
      <c r="D277" s="484"/>
      <c r="E277" s="484"/>
      <c r="F277" s="487">
        <v>29.2</v>
      </c>
      <c r="G277" s="487"/>
      <c r="H277" s="494">
        <v>1221486.19</v>
      </c>
      <c r="I277" s="494"/>
      <c r="J277" s="491"/>
      <c r="K277" s="491"/>
      <c r="L277" s="491"/>
      <c r="M277" s="491"/>
      <c r="N277" s="491"/>
      <c r="O277" s="491"/>
      <c r="P277" s="491"/>
      <c r="Q277" s="491"/>
      <c r="R277" s="491"/>
      <c r="S277" s="491"/>
      <c r="T277" s="491"/>
      <c r="U277" s="491"/>
      <c r="V277" s="491"/>
      <c r="W277" s="491"/>
      <c r="X277" s="491"/>
    </row>
    <row r="278">
      <c r="A278" s="492">
        <v>45161.0</v>
      </c>
      <c r="B278" s="493" t="s">
        <v>861</v>
      </c>
      <c r="C278" s="484" t="s">
        <v>864</v>
      </c>
      <c r="D278" s="484"/>
      <c r="E278" s="484"/>
      <c r="F278" s="487">
        <v>502.46</v>
      </c>
      <c r="G278" s="487"/>
      <c r="H278" s="494">
        <v>1220983.73</v>
      </c>
      <c r="I278" s="494"/>
      <c r="J278" s="491"/>
      <c r="K278" s="491"/>
      <c r="L278" s="491"/>
      <c r="M278" s="491"/>
      <c r="N278" s="491"/>
      <c r="O278" s="491"/>
      <c r="P278" s="491"/>
      <c r="Q278" s="491"/>
      <c r="R278" s="491"/>
      <c r="S278" s="491"/>
      <c r="T278" s="491"/>
      <c r="U278" s="491"/>
      <c r="V278" s="491"/>
      <c r="W278" s="491"/>
      <c r="X278" s="491"/>
    </row>
    <row r="279">
      <c r="A279" s="492">
        <v>45161.0</v>
      </c>
      <c r="B279" s="493" t="s">
        <v>861</v>
      </c>
      <c r="C279" s="484" t="s">
        <v>865</v>
      </c>
      <c r="D279" s="484"/>
      <c r="E279" s="484"/>
      <c r="F279" s="487">
        <v>33.06</v>
      </c>
      <c r="G279" s="487"/>
      <c r="H279" s="494">
        <v>1220950.67</v>
      </c>
      <c r="I279" s="494"/>
      <c r="J279" s="491"/>
      <c r="K279" s="491"/>
      <c r="L279" s="491"/>
      <c r="M279" s="491"/>
      <c r="N279" s="491"/>
      <c r="O279" s="491"/>
      <c r="P279" s="491"/>
      <c r="Q279" s="491"/>
      <c r="R279" s="491"/>
      <c r="S279" s="491"/>
      <c r="T279" s="491"/>
      <c r="U279" s="491"/>
      <c r="V279" s="491"/>
      <c r="W279" s="491"/>
      <c r="X279" s="491"/>
    </row>
    <row r="280">
      <c r="A280" s="492">
        <v>45161.0</v>
      </c>
      <c r="B280" s="493" t="s">
        <v>861</v>
      </c>
      <c r="C280" s="484" t="s">
        <v>866</v>
      </c>
      <c r="D280" s="484"/>
      <c r="E280" s="484"/>
      <c r="F280" s="487">
        <v>46.62</v>
      </c>
      <c r="G280" s="487"/>
      <c r="H280" s="494">
        <v>1220904.05</v>
      </c>
      <c r="I280" s="494"/>
      <c r="J280" s="491"/>
      <c r="K280" s="491"/>
      <c r="L280" s="491"/>
      <c r="M280" s="491"/>
      <c r="N280" s="491"/>
      <c r="O280" s="491"/>
      <c r="P280" s="491"/>
      <c r="Q280" s="491"/>
      <c r="R280" s="491"/>
      <c r="S280" s="491"/>
      <c r="T280" s="491"/>
      <c r="U280" s="491"/>
      <c r="V280" s="491"/>
      <c r="W280" s="491"/>
      <c r="X280" s="491"/>
    </row>
    <row r="281">
      <c r="A281" s="492">
        <v>45161.0</v>
      </c>
      <c r="B281" s="493" t="s">
        <v>861</v>
      </c>
      <c r="C281" s="484" t="s">
        <v>867</v>
      </c>
      <c r="D281" s="484"/>
      <c r="E281" s="484"/>
      <c r="F281" s="487">
        <v>84.28</v>
      </c>
      <c r="G281" s="487"/>
      <c r="H281" s="494">
        <v>1220819.77</v>
      </c>
      <c r="I281" s="494"/>
      <c r="J281" s="491"/>
      <c r="K281" s="491"/>
      <c r="L281" s="491"/>
      <c r="M281" s="491"/>
      <c r="N281" s="491"/>
      <c r="O281" s="491"/>
      <c r="P281" s="491"/>
      <c r="Q281" s="491"/>
      <c r="R281" s="491"/>
      <c r="S281" s="491"/>
      <c r="T281" s="491"/>
      <c r="U281" s="491"/>
      <c r="V281" s="491"/>
      <c r="W281" s="491"/>
      <c r="X281" s="491"/>
    </row>
    <row r="282">
      <c r="A282" s="492">
        <v>45161.0</v>
      </c>
      <c r="B282" s="493" t="s">
        <v>861</v>
      </c>
      <c r="C282" s="484" t="s">
        <v>868</v>
      </c>
      <c r="D282" s="484"/>
      <c r="E282" s="484"/>
      <c r="F282" s="487">
        <v>553.67</v>
      </c>
      <c r="G282" s="487"/>
      <c r="H282" s="494">
        <v>1220266.1</v>
      </c>
      <c r="I282" s="494"/>
      <c r="J282" s="491"/>
      <c r="K282" s="491"/>
      <c r="L282" s="491"/>
      <c r="M282" s="491"/>
      <c r="N282" s="491"/>
      <c r="O282" s="491"/>
      <c r="P282" s="491"/>
      <c r="Q282" s="491"/>
      <c r="R282" s="491"/>
      <c r="S282" s="491"/>
      <c r="T282" s="491"/>
      <c r="U282" s="491"/>
      <c r="V282" s="491"/>
      <c r="W282" s="491"/>
      <c r="X282" s="491"/>
    </row>
    <row r="283">
      <c r="A283" s="492">
        <v>45161.0</v>
      </c>
      <c r="B283" s="493" t="s">
        <v>869</v>
      </c>
      <c r="C283" s="484" t="s">
        <v>870</v>
      </c>
      <c r="D283" s="484"/>
      <c r="E283" s="484"/>
      <c r="F283" s="487">
        <v>3059.0</v>
      </c>
      <c r="G283" s="487"/>
      <c r="H283" s="494">
        <v>1217207.1</v>
      </c>
      <c r="I283" s="494"/>
      <c r="J283" s="491"/>
      <c r="K283" s="491"/>
      <c r="L283" s="491"/>
      <c r="M283" s="491"/>
      <c r="N283" s="491"/>
      <c r="O283" s="491"/>
      <c r="P283" s="491"/>
      <c r="Q283" s="491"/>
      <c r="R283" s="491"/>
      <c r="S283" s="491"/>
      <c r="T283" s="491"/>
      <c r="U283" s="491"/>
      <c r="V283" s="491"/>
      <c r="W283" s="491"/>
      <c r="X283" s="491"/>
    </row>
    <row r="284">
      <c r="A284" s="492">
        <v>45161.0</v>
      </c>
      <c r="B284" s="493" t="s">
        <v>827</v>
      </c>
      <c r="C284" s="484" t="s">
        <v>828</v>
      </c>
      <c r="D284" s="484"/>
      <c r="E284" s="484"/>
      <c r="F284" s="487"/>
      <c r="G284" s="487">
        <v>4.55</v>
      </c>
      <c r="H284" s="494">
        <v>1217211.65</v>
      </c>
      <c r="I284" s="494"/>
      <c r="J284" s="491"/>
      <c r="K284" s="491"/>
      <c r="L284" s="491"/>
      <c r="M284" s="491"/>
      <c r="N284" s="491"/>
      <c r="O284" s="491"/>
      <c r="P284" s="491"/>
      <c r="Q284" s="491"/>
      <c r="R284" s="491"/>
      <c r="S284" s="491"/>
      <c r="T284" s="491"/>
      <c r="U284" s="491"/>
      <c r="V284" s="491"/>
      <c r="W284" s="491"/>
      <c r="X284" s="491"/>
    </row>
    <row r="285">
      <c r="A285" s="492">
        <v>45162.0</v>
      </c>
      <c r="B285" s="493" t="s">
        <v>871</v>
      </c>
      <c r="C285" s="484" t="s">
        <v>833</v>
      </c>
      <c r="D285" s="484"/>
      <c r="E285" s="484"/>
      <c r="F285" s="487">
        <v>115.66</v>
      </c>
      <c r="G285" s="487"/>
      <c r="H285" s="494">
        <v>1217095.99</v>
      </c>
      <c r="I285" s="494"/>
      <c r="J285" s="491"/>
      <c r="K285" s="491"/>
      <c r="L285" s="491"/>
      <c r="M285" s="491"/>
      <c r="N285" s="491"/>
      <c r="O285" s="491"/>
      <c r="P285" s="491"/>
      <c r="Q285" s="491"/>
      <c r="R285" s="491"/>
      <c r="S285" s="491"/>
      <c r="T285" s="491"/>
      <c r="U285" s="491"/>
      <c r="V285" s="491"/>
      <c r="W285" s="491"/>
      <c r="X285" s="491"/>
    </row>
    <row r="286">
      <c r="A286" s="492">
        <v>45162.0</v>
      </c>
      <c r="B286" s="493" t="s">
        <v>871</v>
      </c>
      <c r="C286" s="484" t="s">
        <v>833</v>
      </c>
      <c r="D286" s="484"/>
      <c r="E286" s="484"/>
      <c r="F286" s="487">
        <v>67.79</v>
      </c>
      <c r="G286" s="487"/>
      <c r="H286" s="494">
        <v>1217028.2</v>
      </c>
      <c r="I286" s="494"/>
      <c r="J286" s="491"/>
      <c r="K286" s="491"/>
      <c r="L286" s="491"/>
      <c r="M286" s="491"/>
      <c r="N286" s="491"/>
      <c r="O286" s="491"/>
      <c r="P286" s="491"/>
      <c r="Q286" s="491"/>
      <c r="R286" s="491"/>
      <c r="S286" s="491"/>
      <c r="T286" s="491"/>
      <c r="U286" s="491"/>
      <c r="V286" s="491"/>
      <c r="W286" s="491"/>
      <c r="X286" s="491"/>
    </row>
    <row r="287">
      <c r="A287" s="492">
        <v>45162.0</v>
      </c>
      <c r="B287" s="493" t="s">
        <v>871</v>
      </c>
      <c r="C287" s="484" t="s">
        <v>833</v>
      </c>
      <c r="D287" s="484"/>
      <c r="E287" s="484"/>
      <c r="F287" s="487">
        <v>20.38</v>
      </c>
      <c r="G287" s="487"/>
      <c r="H287" s="494">
        <v>1217007.82</v>
      </c>
      <c r="I287" s="494"/>
      <c r="J287" s="491"/>
      <c r="K287" s="491"/>
      <c r="L287" s="491"/>
      <c r="M287" s="491"/>
      <c r="N287" s="491"/>
      <c r="O287" s="491"/>
      <c r="P287" s="491"/>
      <c r="Q287" s="491"/>
      <c r="R287" s="491"/>
      <c r="S287" s="491"/>
      <c r="T287" s="491"/>
      <c r="U287" s="491"/>
      <c r="V287" s="491"/>
      <c r="W287" s="491"/>
      <c r="X287" s="491"/>
    </row>
    <row r="288">
      <c r="A288" s="492">
        <v>45162.0</v>
      </c>
      <c r="B288" s="493" t="s">
        <v>871</v>
      </c>
      <c r="C288" s="484" t="s">
        <v>833</v>
      </c>
      <c r="D288" s="484"/>
      <c r="E288" s="484"/>
      <c r="F288" s="487">
        <v>9.35</v>
      </c>
      <c r="G288" s="487"/>
      <c r="H288" s="494">
        <v>1216998.47</v>
      </c>
      <c r="I288" s="494"/>
      <c r="J288" s="491"/>
      <c r="K288" s="491"/>
      <c r="L288" s="491"/>
      <c r="M288" s="491"/>
      <c r="N288" s="491"/>
      <c r="O288" s="491"/>
      <c r="P288" s="491"/>
      <c r="Q288" s="491"/>
      <c r="R288" s="491"/>
      <c r="S288" s="491"/>
      <c r="T288" s="491"/>
      <c r="U288" s="491"/>
      <c r="V288" s="491"/>
      <c r="W288" s="491"/>
      <c r="X288" s="491"/>
    </row>
    <row r="289">
      <c r="A289" s="492">
        <v>45162.0</v>
      </c>
      <c r="B289" s="493" t="s">
        <v>871</v>
      </c>
      <c r="C289" s="484" t="s">
        <v>833</v>
      </c>
      <c r="D289" s="484"/>
      <c r="E289" s="484"/>
      <c r="F289" s="487">
        <v>51.77</v>
      </c>
      <c r="G289" s="487"/>
      <c r="H289" s="494">
        <v>1216946.7</v>
      </c>
      <c r="I289" s="494"/>
      <c r="J289" s="491"/>
      <c r="K289" s="491"/>
      <c r="L289" s="491"/>
      <c r="M289" s="491"/>
      <c r="N289" s="491"/>
      <c r="O289" s="491"/>
      <c r="P289" s="491"/>
      <c r="Q289" s="491"/>
      <c r="R289" s="491"/>
      <c r="S289" s="491"/>
      <c r="T289" s="491"/>
      <c r="U289" s="491"/>
      <c r="V289" s="491"/>
      <c r="W289" s="491"/>
      <c r="X289" s="491"/>
    </row>
    <row r="290">
      <c r="A290" s="492">
        <v>45162.0</v>
      </c>
      <c r="B290" s="493" t="s">
        <v>871</v>
      </c>
      <c r="C290" s="484" t="s">
        <v>833</v>
      </c>
      <c r="D290" s="484"/>
      <c r="E290" s="484"/>
      <c r="F290" s="487">
        <v>27.99</v>
      </c>
      <c r="G290" s="487"/>
      <c r="H290" s="494">
        <v>1216918.71</v>
      </c>
      <c r="I290" s="494"/>
      <c r="J290" s="491"/>
      <c r="K290" s="491"/>
      <c r="L290" s="491"/>
      <c r="M290" s="491"/>
      <c r="N290" s="491"/>
      <c r="O290" s="491"/>
      <c r="P290" s="491"/>
      <c r="Q290" s="491"/>
      <c r="R290" s="491"/>
      <c r="S290" s="491"/>
      <c r="T290" s="491"/>
      <c r="U290" s="491"/>
      <c r="V290" s="491"/>
      <c r="W290" s="491"/>
      <c r="X290" s="491"/>
    </row>
    <row r="291">
      <c r="A291" s="492">
        <v>45162.0</v>
      </c>
      <c r="B291" s="493" t="s">
        <v>871</v>
      </c>
      <c r="C291" s="484" t="s">
        <v>833</v>
      </c>
      <c r="D291" s="484"/>
      <c r="E291" s="484"/>
      <c r="F291" s="487">
        <v>77.09</v>
      </c>
      <c r="G291" s="487"/>
      <c r="H291" s="494">
        <v>1216841.62</v>
      </c>
      <c r="I291" s="494"/>
      <c r="J291" s="491"/>
      <c r="K291" s="491"/>
      <c r="L291" s="491"/>
      <c r="M291" s="491"/>
      <c r="N291" s="491"/>
      <c r="O291" s="491"/>
      <c r="P291" s="491"/>
      <c r="Q291" s="491"/>
      <c r="R291" s="491"/>
      <c r="S291" s="491"/>
      <c r="T291" s="491"/>
      <c r="U291" s="491"/>
      <c r="V291" s="491"/>
      <c r="W291" s="491"/>
      <c r="X291" s="491"/>
    </row>
    <row r="292">
      <c r="A292" s="492">
        <v>45162.0</v>
      </c>
      <c r="B292" s="493" t="s">
        <v>871</v>
      </c>
      <c r="C292" s="484" t="s">
        <v>833</v>
      </c>
      <c r="D292" s="484"/>
      <c r="E292" s="484"/>
      <c r="F292" s="487">
        <v>79.11</v>
      </c>
      <c r="G292" s="487"/>
      <c r="H292" s="494">
        <v>1216762.51</v>
      </c>
      <c r="I292" s="494"/>
      <c r="J292" s="491"/>
      <c r="K292" s="491"/>
      <c r="L292" s="491"/>
      <c r="M292" s="491"/>
      <c r="N292" s="491"/>
      <c r="O292" s="491"/>
      <c r="P292" s="491"/>
      <c r="Q292" s="491"/>
      <c r="R292" s="491"/>
      <c r="S292" s="491"/>
      <c r="T292" s="491"/>
      <c r="U292" s="491"/>
      <c r="V292" s="491"/>
      <c r="W292" s="491"/>
      <c r="X292" s="491"/>
    </row>
    <row r="293">
      <c r="A293" s="492">
        <v>45162.0</v>
      </c>
      <c r="B293" s="493" t="s">
        <v>871</v>
      </c>
      <c r="C293" s="484" t="s">
        <v>872</v>
      </c>
      <c r="D293" s="484"/>
      <c r="E293" s="484"/>
      <c r="F293" s="487">
        <v>527.54</v>
      </c>
      <c r="G293" s="487"/>
      <c r="H293" s="494">
        <v>1216234.97</v>
      </c>
      <c r="I293" s="494"/>
      <c r="J293" s="491"/>
      <c r="K293" s="491"/>
      <c r="L293" s="491"/>
      <c r="M293" s="491"/>
      <c r="N293" s="491"/>
      <c r="O293" s="491"/>
      <c r="P293" s="491"/>
      <c r="Q293" s="491"/>
      <c r="R293" s="491"/>
      <c r="S293" s="491"/>
      <c r="T293" s="491"/>
      <c r="U293" s="491"/>
      <c r="V293" s="491"/>
      <c r="W293" s="491"/>
      <c r="X293" s="491"/>
    </row>
    <row r="294">
      <c r="A294" s="492">
        <v>45162.0</v>
      </c>
      <c r="B294" s="493" t="s">
        <v>871</v>
      </c>
      <c r="C294" s="484" t="s">
        <v>873</v>
      </c>
      <c r="D294" s="484"/>
      <c r="E294" s="484"/>
      <c r="F294" s="487">
        <v>2171.91</v>
      </c>
      <c r="G294" s="487"/>
      <c r="H294" s="494">
        <v>1214063.06</v>
      </c>
      <c r="I294" s="494"/>
      <c r="J294" s="491"/>
      <c r="K294" s="491"/>
      <c r="L294" s="491"/>
      <c r="M294" s="491"/>
      <c r="N294" s="491"/>
      <c r="O294" s="491"/>
      <c r="P294" s="491"/>
      <c r="Q294" s="491"/>
      <c r="R294" s="491"/>
      <c r="S294" s="491"/>
      <c r="T294" s="491"/>
      <c r="U294" s="491"/>
      <c r="V294" s="491"/>
      <c r="W294" s="491"/>
      <c r="X294" s="491"/>
    </row>
    <row r="295">
      <c r="A295" s="492">
        <v>45162.0</v>
      </c>
      <c r="B295" s="493" t="s">
        <v>871</v>
      </c>
      <c r="C295" s="484" t="s">
        <v>874</v>
      </c>
      <c r="D295" s="484"/>
      <c r="E295" s="484"/>
      <c r="F295" s="487">
        <v>81.02</v>
      </c>
      <c r="G295" s="487"/>
      <c r="H295" s="494">
        <v>1213982.04</v>
      </c>
      <c r="I295" s="494"/>
      <c r="J295" s="491"/>
      <c r="K295" s="491"/>
      <c r="L295" s="491"/>
      <c r="M295" s="491"/>
      <c r="N295" s="491"/>
      <c r="O295" s="491"/>
      <c r="P295" s="491"/>
      <c r="Q295" s="491"/>
      <c r="R295" s="491"/>
      <c r="S295" s="491"/>
      <c r="T295" s="491"/>
      <c r="U295" s="491"/>
      <c r="V295" s="491"/>
      <c r="W295" s="491"/>
      <c r="X295" s="491"/>
    </row>
    <row r="296">
      <c r="A296" s="492">
        <v>45162.0</v>
      </c>
      <c r="B296" s="493" t="s">
        <v>871</v>
      </c>
      <c r="C296" s="484" t="s">
        <v>875</v>
      </c>
      <c r="D296" s="484"/>
      <c r="E296" s="484"/>
      <c r="F296" s="487">
        <v>112.5</v>
      </c>
      <c r="G296" s="487"/>
      <c r="H296" s="494">
        <v>1213869.54</v>
      </c>
      <c r="I296" s="494"/>
      <c r="J296" s="491"/>
      <c r="K296" s="491"/>
      <c r="L296" s="491"/>
      <c r="M296" s="491"/>
      <c r="N296" s="491"/>
      <c r="O296" s="491"/>
      <c r="P296" s="491"/>
      <c r="Q296" s="491"/>
      <c r="R296" s="491"/>
      <c r="S296" s="491"/>
      <c r="T296" s="491"/>
      <c r="U296" s="491"/>
      <c r="V296" s="491"/>
      <c r="W296" s="491"/>
      <c r="X296" s="491"/>
    </row>
    <row r="297">
      <c r="A297" s="492">
        <v>45162.0</v>
      </c>
      <c r="B297" s="493" t="s">
        <v>871</v>
      </c>
      <c r="C297" s="484" t="s">
        <v>876</v>
      </c>
      <c r="D297" s="484"/>
      <c r="E297" s="484"/>
      <c r="F297" s="487">
        <v>18.99</v>
      </c>
      <c r="G297" s="487"/>
      <c r="H297" s="494">
        <v>1213850.55</v>
      </c>
      <c r="I297" s="494"/>
      <c r="J297" s="491"/>
      <c r="K297" s="491"/>
      <c r="L297" s="491"/>
      <c r="M297" s="491"/>
      <c r="N297" s="491"/>
      <c r="O297" s="491"/>
      <c r="P297" s="491"/>
      <c r="Q297" s="491"/>
      <c r="R297" s="491"/>
      <c r="S297" s="491"/>
      <c r="T297" s="491"/>
      <c r="U297" s="491"/>
      <c r="V297" s="491"/>
      <c r="W297" s="491"/>
      <c r="X297" s="491"/>
    </row>
    <row r="298">
      <c r="A298" s="492">
        <v>45162.0</v>
      </c>
      <c r="B298" s="493" t="s">
        <v>871</v>
      </c>
      <c r="C298" s="484" t="s">
        <v>875</v>
      </c>
      <c r="D298" s="484"/>
      <c r="E298" s="484"/>
      <c r="F298" s="487">
        <v>150.0</v>
      </c>
      <c r="G298" s="487"/>
      <c r="H298" s="494">
        <v>1213700.55</v>
      </c>
      <c r="I298" s="494"/>
      <c r="J298" s="491"/>
      <c r="K298" s="491"/>
      <c r="L298" s="491"/>
      <c r="M298" s="491"/>
      <c r="N298" s="491"/>
      <c r="O298" s="491"/>
      <c r="P298" s="491"/>
      <c r="Q298" s="491"/>
      <c r="R298" s="491"/>
      <c r="S298" s="491"/>
      <c r="T298" s="491"/>
      <c r="U298" s="491"/>
      <c r="V298" s="491"/>
      <c r="W298" s="491"/>
      <c r="X298" s="491"/>
    </row>
    <row r="299">
      <c r="A299" s="492">
        <v>45162.0</v>
      </c>
      <c r="B299" s="493" t="s">
        <v>871</v>
      </c>
      <c r="C299" s="484" t="s">
        <v>877</v>
      </c>
      <c r="D299" s="484"/>
      <c r="E299" s="484"/>
      <c r="F299" s="487">
        <v>10.0</v>
      </c>
      <c r="G299" s="487"/>
      <c r="H299" s="494">
        <v>1213690.55</v>
      </c>
      <c r="I299" s="494"/>
      <c r="J299" s="491"/>
      <c r="K299" s="491"/>
      <c r="L299" s="491"/>
      <c r="M299" s="491"/>
      <c r="N299" s="491"/>
      <c r="O299" s="491"/>
      <c r="P299" s="491"/>
      <c r="Q299" s="491"/>
      <c r="R299" s="491"/>
      <c r="S299" s="491"/>
      <c r="T299" s="491"/>
      <c r="U299" s="491"/>
      <c r="V299" s="491"/>
      <c r="W299" s="491"/>
      <c r="X299" s="491"/>
    </row>
    <row r="300">
      <c r="A300" s="492">
        <v>45162.0</v>
      </c>
      <c r="B300" s="493" t="s">
        <v>871</v>
      </c>
      <c r="C300" s="484" t="s">
        <v>833</v>
      </c>
      <c r="D300" s="484"/>
      <c r="E300" s="484"/>
      <c r="F300" s="487">
        <v>19.8</v>
      </c>
      <c r="G300" s="487"/>
      <c r="H300" s="494">
        <v>1213670.75</v>
      </c>
      <c r="I300" s="494"/>
      <c r="J300" s="491"/>
      <c r="K300" s="491"/>
      <c r="L300" s="491"/>
      <c r="M300" s="491"/>
      <c r="N300" s="491"/>
      <c r="O300" s="491"/>
      <c r="P300" s="491"/>
      <c r="Q300" s="491"/>
      <c r="R300" s="491"/>
      <c r="S300" s="491"/>
      <c r="T300" s="491"/>
      <c r="U300" s="491"/>
      <c r="V300" s="491"/>
      <c r="W300" s="491"/>
      <c r="X300" s="491"/>
    </row>
    <row r="301">
      <c r="A301" s="492">
        <v>45163.0</v>
      </c>
      <c r="B301" s="493" t="s">
        <v>878</v>
      </c>
      <c r="C301" s="484" t="s">
        <v>833</v>
      </c>
      <c r="D301" s="484"/>
      <c r="E301" s="484"/>
      <c r="F301" s="487">
        <v>17.77</v>
      </c>
      <c r="G301" s="487"/>
      <c r="H301" s="494">
        <v>1213652.98</v>
      </c>
      <c r="I301" s="494"/>
      <c r="J301" s="491"/>
      <c r="K301" s="491"/>
      <c r="L301" s="491"/>
      <c r="M301" s="491"/>
      <c r="N301" s="491"/>
      <c r="O301" s="491"/>
      <c r="P301" s="491"/>
      <c r="Q301" s="491"/>
      <c r="R301" s="491"/>
      <c r="S301" s="491"/>
      <c r="T301" s="491"/>
      <c r="U301" s="491"/>
      <c r="V301" s="491"/>
      <c r="W301" s="491"/>
      <c r="X301" s="491"/>
    </row>
    <row r="302">
      <c r="A302" s="492">
        <v>45163.0</v>
      </c>
      <c r="B302" s="493" t="s">
        <v>878</v>
      </c>
      <c r="C302" s="484" t="s">
        <v>833</v>
      </c>
      <c r="D302" s="484"/>
      <c r="E302" s="484"/>
      <c r="F302" s="487">
        <v>76.95</v>
      </c>
      <c r="G302" s="487"/>
      <c r="H302" s="494">
        <v>1213576.03</v>
      </c>
      <c r="I302" s="494"/>
      <c r="J302" s="491"/>
      <c r="K302" s="491"/>
      <c r="L302" s="491"/>
      <c r="M302" s="491"/>
      <c r="N302" s="491"/>
      <c r="O302" s="491"/>
      <c r="P302" s="491"/>
      <c r="Q302" s="491"/>
      <c r="R302" s="491"/>
      <c r="S302" s="491"/>
      <c r="T302" s="491"/>
      <c r="U302" s="491"/>
      <c r="V302" s="491"/>
      <c r="W302" s="491"/>
      <c r="X302" s="491"/>
    </row>
    <row r="303">
      <c r="A303" s="492">
        <v>45163.0</v>
      </c>
      <c r="B303" s="493" t="s">
        <v>878</v>
      </c>
      <c r="C303" s="484" t="s">
        <v>879</v>
      </c>
      <c r="D303" s="484"/>
      <c r="E303" s="484"/>
      <c r="F303" s="487">
        <v>36.11</v>
      </c>
      <c r="G303" s="487"/>
      <c r="H303" s="494">
        <v>1213539.92</v>
      </c>
      <c r="I303" s="494"/>
      <c r="J303" s="491"/>
      <c r="K303" s="491"/>
      <c r="L303" s="491"/>
      <c r="M303" s="491"/>
      <c r="N303" s="491"/>
      <c r="O303" s="491"/>
      <c r="P303" s="491"/>
      <c r="Q303" s="491"/>
      <c r="R303" s="491"/>
      <c r="S303" s="491"/>
      <c r="T303" s="491"/>
      <c r="U303" s="491"/>
      <c r="V303" s="491"/>
      <c r="W303" s="491"/>
      <c r="X303" s="491"/>
    </row>
    <row r="304">
      <c r="A304" s="492">
        <v>45163.0</v>
      </c>
      <c r="B304" s="493" t="s">
        <v>878</v>
      </c>
      <c r="C304" s="484" t="s">
        <v>880</v>
      </c>
      <c r="D304" s="484"/>
      <c r="E304" s="484"/>
      <c r="F304" s="487">
        <v>2.99</v>
      </c>
      <c r="G304" s="487"/>
      <c r="H304" s="494">
        <v>1213536.93</v>
      </c>
      <c r="I304" s="494"/>
      <c r="J304" s="491"/>
      <c r="K304" s="491"/>
      <c r="L304" s="491"/>
      <c r="M304" s="491"/>
      <c r="N304" s="491"/>
      <c r="O304" s="491"/>
      <c r="P304" s="491"/>
      <c r="Q304" s="491"/>
      <c r="R304" s="491"/>
      <c r="S304" s="491"/>
      <c r="T304" s="491"/>
      <c r="U304" s="491"/>
      <c r="V304" s="491"/>
      <c r="W304" s="491"/>
      <c r="X304" s="491"/>
    </row>
    <row r="305">
      <c r="A305" s="492">
        <v>45163.0</v>
      </c>
      <c r="B305" s="493" t="s">
        <v>878</v>
      </c>
      <c r="C305" s="484" t="s">
        <v>881</v>
      </c>
      <c r="D305" s="484"/>
      <c r="E305" s="484"/>
      <c r="F305" s="487">
        <v>168.58</v>
      </c>
      <c r="G305" s="487"/>
      <c r="H305" s="494">
        <v>1213368.35</v>
      </c>
      <c r="I305" s="494"/>
      <c r="J305" s="491"/>
      <c r="K305" s="491"/>
      <c r="L305" s="491"/>
      <c r="M305" s="491"/>
      <c r="N305" s="491"/>
      <c r="O305" s="491"/>
      <c r="P305" s="491"/>
      <c r="Q305" s="491"/>
      <c r="R305" s="491"/>
      <c r="S305" s="491"/>
      <c r="T305" s="491"/>
      <c r="U305" s="491"/>
      <c r="V305" s="491"/>
      <c r="W305" s="491"/>
      <c r="X305" s="491"/>
    </row>
    <row r="306">
      <c r="A306" s="492">
        <v>45163.0</v>
      </c>
      <c r="B306" s="493" t="s">
        <v>878</v>
      </c>
      <c r="C306" s="484" t="s">
        <v>882</v>
      </c>
      <c r="D306" s="484"/>
      <c r="E306" s="484"/>
      <c r="F306" s="487">
        <v>40.87</v>
      </c>
      <c r="G306" s="487"/>
      <c r="H306" s="494">
        <v>1213327.48</v>
      </c>
      <c r="I306" s="494"/>
      <c r="J306" s="491"/>
      <c r="K306" s="491"/>
      <c r="L306" s="491"/>
      <c r="M306" s="491"/>
      <c r="N306" s="491"/>
      <c r="O306" s="491"/>
      <c r="P306" s="491"/>
      <c r="Q306" s="491"/>
      <c r="R306" s="491"/>
      <c r="S306" s="491"/>
      <c r="T306" s="491"/>
      <c r="U306" s="491"/>
      <c r="V306" s="491"/>
      <c r="W306" s="491"/>
      <c r="X306" s="491"/>
    </row>
    <row r="307">
      <c r="A307" s="492">
        <v>45163.0</v>
      </c>
      <c r="B307" s="493" t="s">
        <v>878</v>
      </c>
      <c r="C307" s="484" t="s">
        <v>883</v>
      </c>
      <c r="D307" s="484"/>
      <c r="E307" s="484"/>
      <c r="F307" s="487">
        <v>19.99</v>
      </c>
      <c r="G307" s="487"/>
      <c r="H307" s="494">
        <v>1213307.49</v>
      </c>
      <c r="I307" s="494"/>
      <c r="J307" s="491"/>
      <c r="K307" s="491"/>
      <c r="L307" s="491"/>
      <c r="M307" s="491"/>
      <c r="N307" s="491"/>
      <c r="O307" s="491"/>
      <c r="P307" s="491"/>
      <c r="Q307" s="491"/>
      <c r="R307" s="491"/>
      <c r="S307" s="491"/>
      <c r="T307" s="491"/>
      <c r="U307" s="491"/>
      <c r="V307" s="491"/>
      <c r="W307" s="491"/>
      <c r="X307" s="491"/>
    </row>
    <row r="308">
      <c r="A308" s="492">
        <v>45163.0</v>
      </c>
      <c r="B308" s="493" t="s">
        <v>878</v>
      </c>
      <c r="C308" s="484" t="s">
        <v>877</v>
      </c>
      <c r="D308" s="484"/>
      <c r="E308" s="484"/>
      <c r="F308" s="487">
        <v>10.0</v>
      </c>
      <c r="G308" s="487"/>
      <c r="H308" s="494">
        <v>1213297.49</v>
      </c>
      <c r="I308" s="494"/>
      <c r="J308" s="491"/>
      <c r="K308" s="491"/>
      <c r="L308" s="491"/>
      <c r="M308" s="491"/>
      <c r="N308" s="491"/>
      <c r="O308" s="491"/>
      <c r="P308" s="491"/>
      <c r="Q308" s="491"/>
      <c r="R308" s="491"/>
      <c r="S308" s="491"/>
      <c r="T308" s="491"/>
      <c r="U308" s="491"/>
      <c r="V308" s="491"/>
      <c r="W308" s="491"/>
      <c r="X308" s="491"/>
    </row>
    <row r="309">
      <c r="A309" s="492">
        <v>45163.0</v>
      </c>
      <c r="B309" s="493" t="s">
        <v>878</v>
      </c>
      <c r="C309" s="484" t="s">
        <v>884</v>
      </c>
      <c r="D309" s="484"/>
      <c r="E309" s="484"/>
      <c r="F309" s="487">
        <v>18.99</v>
      </c>
      <c r="G309" s="487"/>
      <c r="H309" s="494">
        <v>1213278.5</v>
      </c>
      <c r="I309" s="494"/>
      <c r="J309" s="491"/>
      <c r="K309" s="491"/>
      <c r="L309" s="491"/>
      <c r="M309" s="491"/>
      <c r="N309" s="491"/>
      <c r="O309" s="491"/>
      <c r="P309" s="491"/>
      <c r="Q309" s="491"/>
      <c r="R309" s="491"/>
      <c r="S309" s="491"/>
      <c r="T309" s="491"/>
      <c r="U309" s="491"/>
      <c r="V309" s="491"/>
      <c r="W309" s="491"/>
      <c r="X309" s="491"/>
    </row>
    <row r="310">
      <c r="A310" s="492">
        <v>45163.0</v>
      </c>
      <c r="B310" s="493" t="s">
        <v>878</v>
      </c>
      <c r="C310" s="484" t="s">
        <v>885</v>
      </c>
      <c r="D310" s="484"/>
      <c r="E310" s="484"/>
      <c r="F310" s="487">
        <v>179.4</v>
      </c>
      <c r="G310" s="487"/>
      <c r="H310" s="494">
        <v>1213099.1</v>
      </c>
      <c r="I310" s="494"/>
      <c r="J310" s="491"/>
      <c r="K310" s="491"/>
      <c r="L310" s="491"/>
      <c r="M310" s="491"/>
      <c r="N310" s="491"/>
      <c r="O310" s="491"/>
      <c r="P310" s="491"/>
      <c r="Q310" s="491"/>
      <c r="R310" s="491"/>
      <c r="S310" s="491"/>
      <c r="T310" s="491"/>
      <c r="U310" s="491"/>
      <c r="V310" s="491"/>
      <c r="W310" s="491"/>
      <c r="X310" s="491"/>
    </row>
    <row r="311">
      <c r="A311" s="492">
        <v>45166.0</v>
      </c>
      <c r="B311" s="493" t="s">
        <v>886</v>
      </c>
      <c r="C311" s="484" t="s">
        <v>887</v>
      </c>
      <c r="D311" s="484"/>
      <c r="E311" s="484"/>
      <c r="F311" s="487">
        <v>5926.0</v>
      </c>
      <c r="G311" s="487"/>
      <c r="H311" s="494">
        <v>1207173.1</v>
      </c>
      <c r="I311" s="494"/>
      <c r="J311" s="491"/>
      <c r="K311" s="491"/>
      <c r="L311" s="491"/>
      <c r="M311" s="491"/>
      <c r="N311" s="491"/>
      <c r="O311" s="491"/>
      <c r="P311" s="491"/>
      <c r="Q311" s="491"/>
      <c r="R311" s="491"/>
      <c r="S311" s="491"/>
      <c r="T311" s="491"/>
      <c r="U311" s="491"/>
      <c r="V311" s="491"/>
      <c r="W311" s="491"/>
      <c r="X311" s="491"/>
    </row>
    <row r="312">
      <c r="A312" s="492">
        <v>45166.0</v>
      </c>
      <c r="B312" s="493" t="s">
        <v>886</v>
      </c>
      <c r="C312" s="484" t="s">
        <v>888</v>
      </c>
      <c r="D312" s="484"/>
      <c r="E312" s="484"/>
      <c r="F312" s="487">
        <v>192.0</v>
      </c>
      <c r="G312" s="487"/>
      <c r="H312" s="494">
        <v>1206981.1</v>
      </c>
      <c r="I312" s="494"/>
      <c r="J312" s="491"/>
      <c r="K312" s="491"/>
      <c r="L312" s="491"/>
      <c r="M312" s="491"/>
      <c r="N312" s="491"/>
      <c r="O312" s="491"/>
      <c r="P312" s="491"/>
      <c r="Q312" s="491"/>
      <c r="R312" s="491"/>
      <c r="S312" s="491"/>
      <c r="T312" s="491"/>
      <c r="U312" s="491"/>
      <c r="V312" s="491"/>
      <c r="W312" s="491"/>
      <c r="X312" s="491"/>
    </row>
    <row r="313">
      <c r="A313" s="492">
        <v>45166.0</v>
      </c>
      <c r="B313" s="493" t="s">
        <v>886</v>
      </c>
      <c r="C313" s="484" t="s">
        <v>889</v>
      </c>
      <c r="D313" s="484"/>
      <c r="E313" s="484"/>
      <c r="F313" s="487">
        <v>921.6</v>
      </c>
      <c r="G313" s="487"/>
      <c r="H313" s="494">
        <v>1206059.5</v>
      </c>
      <c r="I313" s="494"/>
      <c r="J313" s="491"/>
      <c r="K313" s="491"/>
      <c r="L313" s="491"/>
      <c r="M313" s="491"/>
      <c r="N313" s="491"/>
      <c r="O313" s="491"/>
      <c r="P313" s="491"/>
      <c r="Q313" s="491"/>
      <c r="R313" s="491"/>
      <c r="S313" s="491"/>
      <c r="T313" s="491"/>
      <c r="U313" s="491"/>
      <c r="V313" s="491"/>
      <c r="W313" s="491"/>
      <c r="X313" s="491"/>
    </row>
    <row r="314">
      <c r="A314" s="492">
        <v>45166.0</v>
      </c>
      <c r="B314" s="493" t="s">
        <v>886</v>
      </c>
      <c r="C314" s="484" t="s">
        <v>890</v>
      </c>
      <c r="D314" s="484"/>
      <c r="E314" s="484"/>
      <c r="F314" s="487">
        <v>4875.0</v>
      </c>
      <c r="G314" s="487"/>
      <c r="H314" s="494">
        <v>1201184.5</v>
      </c>
      <c r="I314" s="494"/>
      <c r="J314" s="491"/>
      <c r="K314" s="491"/>
      <c r="L314" s="491"/>
      <c r="M314" s="491"/>
      <c r="N314" s="491"/>
      <c r="O314" s="491"/>
      <c r="P314" s="491"/>
      <c r="Q314" s="491"/>
      <c r="R314" s="491"/>
      <c r="S314" s="491"/>
      <c r="T314" s="491"/>
      <c r="U314" s="491"/>
      <c r="V314" s="491"/>
      <c r="W314" s="491"/>
      <c r="X314" s="491"/>
    </row>
    <row r="315">
      <c r="A315" s="492">
        <v>45166.0</v>
      </c>
      <c r="B315" s="493" t="s">
        <v>886</v>
      </c>
      <c r="C315" s="484" t="s">
        <v>891</v>
      </c>
      <c r="D315" s="484"/>
      <c r="E315" s="484"/>
      <c r="F315" s="487">
        <v>1355.35</v>
      </c>
      <c r="G315" s="487"/>
      <c r="H315" s="494">
        <v>1199829.15</v>
      </c>
      <c r="I315" s="494"/>
      <c r="J315" s="491"/>
      <c r="K315" s="491"/>
      <c r="L315" s="491"/>
      <c r="M315" s="491"/>
      <c r="N315" s="491"/>
      <c r="O315" s="491"/>
      <c r="P315" s="491"/>
      <c r="Q315" s="491"/>
      <c r="R315" s="491"/>
      <c r="S315" s="491"/>
      <c r="T315" s="491"/>
      <c r="U315" s="491"/>
      <c r="V315" s="491"/>
      <c r="W315" s="491"/>
      <c r="X315" s="491"/>
    </row>
    <row r="316">
      <c r="A316" s="492">
        <v>45166.0</v>
      </c>
      <c r="B316" s="493" t="s">
        <v>886</v>
      </c>
      <c r="C316" s="484" t="s">
        <v>892</v>
      </c>
      <c r="D316" s="484"/>
      <c r="E316" s="484"/>
      <c r="F316" s="487">
        <v>1355.35</v>
      </c>
      <c r="G316" s="487"/>
      <c r="H316" s="494">
        <v>1198473.8</v>
      </c>
      <c r="I316" s="494"/>
      <c r="J316" s="491"/>
      <c r="K316" s="491"/>
      <c r="L316" s="491"/>
      <c r="M316" s="491"/>
      <c r="N316" s="491"/>
      <c r="O316" s="491"/>
      <c r="P316" s="491"/>
      <c r="Q316" s="491"/>
      <c r="R316" s="491"/>
      <c r="S316" s="491"/>
      <c r="T316" s="491"/>
      <c r="U316" s="491"/>
      <c r="V316" s="491"/>
      <c r="W316" s="491"/>
      <c r="X316" s="491"/>
    </row>
    <row r="317">
      <c r="A317" s="492">
        <v>45166.0</v>
      </c>
      <c r="B317" s="493" t="s">
        <v>886</v>
      </c>
      <c r="C317" s="484" t="s">
        <v>893</v>
      </c>
      <c r="D317" s="484"/>
      <c r="E317" s="484"/>
      <c r="F317" s="487">
        <v>8580.0</v>
      </c>
      <c r="G317" s="487"/>
      <c r="H317" s="494">
        <v>1189893.8</v>
      </c>
      <c r="I317" s="494"/>
      <c r="J317" s="491"/>
      <c r="K317" s="491"/>
      <c r="L317" s="491"/>
      <c r="M317" s="491"/>
      <c r="N317" s="491"/>
      <c r="O317" s="491"/>
      <c r="P317" s="491"/>
      <c r="Q317" s="491"/>
      <c r="R317" s="491"/>
      <c r="S317" s="491"/>
      <c r="T317" s="491"/>
      <c r="U317" s="491"/>
      <c r="V317" s="491"/>
      <c r="W317" s="491"/>
      <c r="X317" s="491"/>
    </row>
    <row r="318">
      <c r="A318" s="492">
        <v>45166.0</v>
      </c>
      <c r="B318" s="493" t="s">
        <v>886</v>
      </c>
      <c r="C318" s="484" t="s">
        <v>894</v>
      </c>
      <c r="D318" s="484"/>
      <c r="E318" s="484"/>
      <c r="F318" s="487">
        <v>5052.0</v>
      </c>
      <c r="G318" s="487"/>
      <c r="H318" s="494">
        <v>1184841.8</v>
      </c>
      <c r="I318" s="494"/>
      <c r="J318" s="491"/>
      <c r="K318" s="491"/>
      <c r="L318" s="491"/>
      <c r="M318" s="491"/>
      <c r="N318" s="491"/>
      <c r="O318" s="491"/>
      <c r="P318" s="491"/>
      <c r="Q318" s="491"/>
      <c r="R318" s="491"/>
      <c r="S318" s="491"/>
      <c r="T318" s="491"/>
      <c r="U318" s="491"/>
      <c r="V318" s="491"/>
      <c r="W318" s="491"/>
      <c r="X318" s="491"/>
    </row>
    <row r="319">
      <c r="A319" s="492">
        <v>45166.0</v>
      </c>
      <c r="B319" s="493" t="s">
        <v>886</v>
      </c>
      <c r="C319" s="484" t="s">
        <v>895</v>
      </c>
      <c r="D319" s="484"/>
      <c r="E319" s="484"/>
      <c r="F319" s="487">
        <v>750.0</v>
      </c>
      <c r="G319" s="487"/>
      <c r="H319" s="494">
        <v>1184091.8</v>
      </c>
      <c r="I319" s="494"/>
      <c r="J319" s="491"/>
      <c r="K319" s="491"/>
      <c r="L319" s="491"/>
      <c r="M319" s="491"/>
      <c r="N319" s="491"/>
      <c r="O319" s="491"/>
      <c r="P319" s="491"/>
      <c r="Q319" s="491"/>
      <c r="R319" s="491"/>
      <c r="S319" s="491"/>
      <c r="T319" s="491"/>
      <c r="U319" s="491"/>
      <c r="V319" s="491"/>
      <c r="W319" s="491"/>
      <c r="X319" s="491"/>
    </row>
    <row r="320">
      <c r="A320" s="492">
        <v>45166.0</v>
      </c>
      <c r="B320" s="493" t="s">
        <v>886</v>
      </c>
      <c r="C320" s="484" t="s">
        <v>896</v>
      </c>
      <c r="D320" s="484"/>
      <c r="E320" s="484"/>
      <c r="F320" s="487">
        <v>52151.67</v>
      </c>
      <c r="G320" s="487"/>
      <c r="H320" s="494">
        <v>1131940.13</v>
      </c>
      <c r="I320" s="494"/>
      <c r="J320" s="491"/>
      <c r="K320" s="491"/>
      <c r="L320" s="491"/>
      <c r="M320" s="491"/>
      <c r="N320" s="491"/>
      <c r="O320" s="491"/>
      <c r="P320" s="491"/>
      <c r="Q320" s="491"/>
      <c r="R320" s="491"/>
      <c r="S320" s="491"/>
      <c r="T320" s="491"/>
      <c r="U320" s="491"/>
      <c r="V320" s="491"/>
      <c r="W320" s="491"/>
      <c r="X320" s="491"/>
    </row>
    <row r="321">
      <c r="A321" s="492">
        <v>45166.0</v>
      </c>
      <c r="B321" s="493" t="s">
        <v>886</v>
      </c>
      <c r="C321" s="484" t="s">
        <v>897</v>
      </c>
      <c r="D321" s="484"/>
      <c r="E321" s="484"/>
      <c r="F321" s="487">
        <v>645.0</v>
      </c>
      <c r="G321" s="487"/>
      <c r="H321" s="494">
        <v>1131295.13</v>
      </c>
      <c r="I321" s="494"/>
      <c r="J321" s="491"/>
      <c r="K321" s="491"/>
      <c r="L321" s="491"/>
      <c r="M321" s="491"/>
      <c r="N321" s="491"/>
      <c r="O321" s="491"/>
      <c r="P321" s="491"/>
      <c r="Q321" s="491"/>
      <c r="R321" s="491"/>
      <c r="S321" s="491"/>
      <c r="T321" s="491"/>
      <c r="U321" s="491"/>
      <c r="V321" s="491"/>
      <c r="W321" s="491"/>
      <c r="X321" s="491"/>
    </row>
    <row r="322">
      <c r="A322" s="492">
        <v>45166.0</v>
      </c>
      <c r="B322" s="493" t="s">
        <v>898</v>
      </c>
      <c r="C322" s="484" t="s">
        <v>899</v>
      </c>
      <c r="D322" s="484"/>
      <c r="E322" s="484"/>
      <c r="F322" s="487">
        <v>114.75</v>
      </c>
      <c r="G322" s="487"/>
      <c r="H322" s="494">
        <v>1131180.38</v>
      </c>
      <c r="I322" s="494"/>
      <c r="J322" s="491"/>
      <c r="K322" s="491"/>
      <c r="L322" s="491"/>
      <c r="M322" s="491"/>
      <c r="N322" s="491"/>
      <c r="O322" s="491"/>
      <c r="P322" s="491"/>
      <c r="Q322" s="491"/>
      <c r="R322" s="491"/>
      <c r="S322" s="491"/>
      <c r="T322" s="491"/>
      <c r="U322" s="491"/>
      <c r="V322" s="491"/>
      <c r="W322" s="491"/>
      <c r="X322" s="491"/>
    </row>
    <row r="323">
      <c r="A323" s="492">
        <v>45166.0</v>
      </c>
      <c r="B323" s="493" t="s">
        <v>898</v>
      </c>
      <c r="C323" s="484" t="s">
        <v>900</v>
      </c>
      <c r="D323" s="484"/>
      <c r="E323" s="484"/>
      <c r="F323" s="487">
        <v>85.37</v>
      </c>
      <c r="G323" s="487"/>
      <c r="H323" s="494">
        <v>1131095.01</v>
      </c>
      <c r="I323" s="494"/>
      <c r="J323" s="491"/>
      <c r="K323" s="491"/>
      <c r="L323" s="491"/>
      <c r="M323" s="491"/>
      <c r="N323" s="491"/>
      <c r="O323" s="491"/>
      <c r="P323" s="491"/>
      <c r="Q323" s="491"/>
      <c r="R323" s="491"/>
      <c r="S323" s="491"/>
      <c r="T323" s="491"/>
      <c r="U323" s="491"/>
      <c r="V323" s="491"/>
      <c r="W323" s="491"/>
      <c r="X323" s="491"/>
    </row>
    <row r="324">
      <c r="A324" s="492">
        <v>45166.0</v>
      </c>
      <c r="B324" s="493" t="s">
        <v>898</v>
      </c>
      <c r="C324" s="484" t="s">
        <v>901</v>
      </c>
      <c r="D324" s="484"/>
      <c r="E324" s="484"/>
      <c r="F324" s="487">
        <v>249.63</v>
      </c>
      <c r="G324" s="487"/>
      <c r="H324" s="494">
        <v>1130845.38</v>
      </c>
      <c r="I324" s="494"/>
      <c r="J324" s="491"/>
      <c r="K324" s="491"/>
      <c r="L324" s="491"/>
      <c r="M324" s="491"/>
      <c r="N324" s="491"/>
      <c r="O324" s="491"/>
      <c r="P324" s="491"/>
      <c r="Q324" s="491"/>
      <c r="R324" s="491"/>
      <c r="S324" s="491"/>
      <c r="T324" s="491"/>
      <c r="U324" s="491"/>
      <c r="V324" s="491"/>
      <c r="W324" s="491"/>
      <c r="X324" s="491"/>
    </row>
    <row r="325">
      <c r="A325" s="492">
        <v>45166.0</v>
      </c>
      <c r="B325" s="493" t="s">
        <v>898</v>
      </c>
      <c r="C325" s="484" t="s">
        <v>882</v>
      </c>
      <c r="D325" s="484"/>
      <c r="E325" s="484"/>
      <c r="F325" s="487">
        <v>41.97</v>
      </c>
      <c r="G325" s="487"/>
      <c r="H325" s="494">
        <v>1130803.41</v>
      </c>
      <c r="I325" s="494"/>
      <c r="J325" s="491"/>
      <c r="K325" s="491"/>
      <c r="L325" s="491"/>
      <c r="M325" s="491"/>
      <c r="N325" s="491"/>
      <c r="O325" s="491"/>
      <c r="P325" s="491"/>
      <c r="Q325" s="491"/>
      <c r="R325" s="491"/>
      <c r="S325" s="491"/>
      <c r="T325" s="491"/>
      <c r="U325" s="491"/>
      <c r="V325" s="491"/>
      <c r="W325" s="491"/>
      <c r="X325" s="491"/>
    </row>
    <row r="326">
      <c r="A326" s="492">
        <v>45166.0</v>
      </c>
      <c r="B326" s="493" t="s">
        <v>898</v>
      </c>
      <c r="C326" s="484" t="s">
        <v>902</v>
      </c>
      <c r="D326" s="484"/>
      <c r="E326" s="484"/>
      <c r="F326" s="487">
        <v>693.14</v>
      </c>
      <c r="G326" s="487"/>
      <c r="H326" s="494">
        <v>1130110.27</v>
      </c>
      <c r="I326" s="494"/>
      <c r="J326" s="491"/>
      <c r="K326" s="491"/>
      <c r="L326" s="491"/>
      <c r="M326" s="491"/>
      <c r="N326" s="491"/>
      <c r="O326" s="491"/>
      <c r="P326" s="491"/>
      <c r="Q326" s="491"/>
      <c r="R326" s="491"/>
      <c r="S326" s="491"/>
      <c r="T326" s="491"/>
      <c r="U326" s="491"/>
      <c r="V326" s="491"/>
      <c r="W326" s="491"/>
      <c r="X326" s="491"/>
    </row>
    <row r="327">
      <c r="A327" s="492">
        <v>45166.0</v>
      </c>
      <c r="B327" s="493" t="s">
        <v>898</v>
      </c>
      <c r="C327" s="484" t="s">
        <v>903</v>
      </c>
      <c r="D327" s="484"/>
      <c r="E327" s="484"/>
      <c r="F327" s="487">
        <v>50.62</v>
      </c>
      <c r="G327" s="487"/>
      <c r="H327" s="494">
        <v>1130059.65</v>
      </c>
      <c r="I327" s="494"/>
      <c r="J327" s="491"/>
      <c r="K327" s="491"/>
      <c r="L327" s="491"/>
      <c r="M327" s="491"/>
      <c r="N327" s="491"/>
      <c r="O327" s="491"/>
      <c r="P327" s="491"/>
      <c r="Q327" s="491"/>
      <c r="R327" s="491"/>
      <c r="S327" s="491"/>
      <c r="T327" s="491"/>
      <c r="U327" s="491"/>
      <c r="V327" s="491"/>
      <c r="W327" s="491"/>
      <c r="X327" s="491"/>
    </row>
    <row r="328">
      <c r="A328" s="492">
        <v>45166.0</v>
      </c>
      <c r="B328" s="493" t="s">
        <v>898</v>
      </c>
      <c r="C328" s="484" t="s">
        <v>904</v>
      </c>
      <c r="D328" s="484"/>
      <c r="E328" s="484"/>
      <c r="F328" s="487"/>
      <c r="G328" s="487">
        <v>10.0</v>
      </c>
      <c r="H328" s="494">
        <v>1130069.65</v>
      </c>
      <c r="I328" s="494"/>
      <c r="J328" s="491"/>
      <c r="K328" s="491"/>
      <c r="L328" s="491"/>
      <c r="M328" s="491"/>
      <c r="N328" s="491"/>
      <c r="O328" s="491"/>
      <c r="P328" s="491"/>
      <c r="Q328" s="491"/>
      <c r="R328" s="491"/>
      <c r="S328" s="491"/>
      <c r="T328" s="491"/>
      <c r="U328" s="491"/>
      <c r="V328" s="491"/>
      <c r="W328" s="491"/>
      <c r="X328" s="491"/>
    </row>
    <row r="329">
      <c r="A329" s="492">
        <v>45167.0</v>
      </c>
      <c r="B329" s="493" t="s">
        <v>905</v>
      </c>
      <c r="C329" s="484" t="s">
        <v>906</v>
      </c>
      <c r="D329" s="484"/>
      <c r="E329" s="484"/>
      <c r="F329" s="487">
        <v>80.79</v>
      </c>
      <c r="G329" s="487"/>
      <c r="H329" s="494">
        <v>1129988.86</v>
      </c>
      <c r="I329" s="494"/>
      <c r="J329" s="491"/>
      <c r="K329" s="491"/>
      <c r="L329" s="491"/>
      <c r="M329" s="491"/>
      <c r="N329" s="491"/>
      <c r="O329" s="491"/>
      <c r="P329" s="491"/>
      <c r="Q329" s="491"/>
      <c r="R329" s="491"/>
      <c r="S329" s="491"/>
      <c r="T329" s="491"/>
      <c r="U329" s="491"/>
      <c r="V329" s="491"/>
      <c r="W329" s="491"/>
      <c r="X329" s="491"/>
    </row>
    <row r="330">
      <c r="A330" s="492">
        <v>45167.0</v>
      </c>
      <c r="B330" s="493" t="s">
        <v>905</v>
      </c>
      <c r="C330" s="484" t="s">
        <v>907</v>
      </c>
      <c r="D330" s="484"/>
      <c r="E330" s="484"/>
      <c r="F330" s="487">
        <v>8.88</v>
      </c>
      <c r="G330" s="487"/>
      <c r="H330" s="494">
        <v>1129979.98</v>
      </c>
      <c r="I330" s="494"/>
      <c r="J330" s="491"/>
      <c r="K330" s="491"/>
      <c r="L330" s="491"/>
      <c r="M330" s="491"/>
      <c r="N330" s="491"/>
      <c r="O330" s="491"/>
      <c r="P330" s="491"/>
      <c r="Q330" s="491"/>
      <c r="R330" s="491"/>
      <c r="S330" s="491"/>
      <c r="T330" s="491"/>
      <c r="U330" s="491"/>
      <c r="V330" s="491"/>
      <c r="W330" s="491"/>
      <c r="X330" s="491"/>
    </row>
    <row r="331">
      <c r="A331" s="492">
        <v>45167.0</v>
      </c>
      <c r="B331" s="493" t="s">
        <v>905</v>
      </c>
      <c r="C331" s="484" t="s">
        <v>908</v>
      </c>
      <c r="D331" s="484"/>
      <c r="E331" s="484"/>
      <c r="F331" s="487"/>
      <c r="G331" s="487">
        <v>26.86</v>
      </c>
      <c r="H331" s="494">
        <v>1130006.84</v>
      </c>
      <c r="I331" s="494"/>
      <c r="J331" s="491"/>
      <c r="K331" s="491"/>
      <c r="L331" s="491"/>
      <c r="M331" s="491"/>
      <c r="N331" s="491"/>
      <c r="O331" s="491"/>
      <c r="P331" s="491"/>
      <c r="Q331" s="491"/>
      <c r="R331" s="491"/>
      <c r="S331" s="491"/>
      <c r="T331" s="491"/>
      <c r="U331" s="491"/>
      <c r="V331" s="491"/>
      <c r="W331" s="491"/>
      <c r="X331" s="491"/>
    </row>
    <row r="332">
      <c r="A332" s="492">
        <v>45167.0</v>
      </c>
      <c r="B332" s="493" t="s">
        <v>905</v>
      </c>
      <c r="C332" s="484" t="s">
        <v>833</v>
      </c>
      <c r="D332" s="484"/>
      <c r="E332" s="484"/>
      <c r="F332" s="487">
        <v>16.34</v>
      </c>
      <c r="G332" s="487"/>
      <c r="H332" s="494">
        <v>1129990.5</v>
      </c>
      <c r="I332" s="494"/>
      <c r="J332" s="491"/>
      <c r="K332" s="491"/>
      <c r="L332" s="491"/>
      <c r="M332" s="491"/>
      <c r="N332" s="491"/>
      <c r="O332" s="491"/>
      <c r="P332" s="491"/>
      <c r="Q332" s="491"/>
      <c r="R332" s="491"/>
      <c r="S332" s="491"/>
      <c r="T332" s="491"/>
      <c r="U332" s="491"/>
      <c r="V332" s="491"/>
      <c r="W332" s="491"/>
      <c r="X332" s="491"/>
    </row>
    <row r="333">
      <c r="A333" s="492">
        <v>45167.0</v>
      </c>
      <c r="B333" s="493" t="s">
        <v>905</v>
      </c>
      <c r="C333" s="484" t="s">
        <v>909</v>
      </c>
      <c r="D333" s="484"/>
      <c r="E333" s="484"/>
      <c r="F333" s="487">
        <v>127.52</v>
      </c>
      <c r="G333" s="487"/>
      <c r="H333" s="494">
        <v>1129862.98</v>
      </c>
      <c r="I333" s="494"/>
      <c r="J333" s="491"/>
      <c r="K333" s="491"/>
      <c r="L333" s="491"/>
      <c r="M333" s="491"/>
      <c r="N333" s="491"/>
      <c r="O333" s="491"/>
      <c r="P333" s="491"/>
      <c r="Q333" s="491"/>
      <c r="R333" s="491"/>
      <c r="S333" s="491"/>
      <c r="T333" s="491"/>
      <c r="U333" s="491"/>
      <c r="V333" s="491"/>
      <c r="W333" s="491"/>
      <c r="X333" s="491"/>
    </row>
    <row r="334">
      <c r="A334" s="492">
        <v>45167.0</v>
      </c>
      <c r="B334" s="493" t="s">
        <v>905</v>
      </c>
      <c r="C334" s="484" t="s">
        <v>910</v>
      </c>
      <c r="D334" s="484"/>
      <c r="E334" s="484"/>
      <c r="F334" s="487">
        <v>462.5</v>
      </c>
      <c r="G334" s="487"/>
      <c r="H334" s="494">
        <v>1129400.48</v>
      </c>
      <c r="I334" s="494"/>
      <c r="J334" s="491"/>
      <c r="K334" s="491"/>
      <c r="L334" s="491"/>
      <c r="M334" s="491"/>
      <c r="N334" s="491"/>
      <c r="O334" s="491"/>
      <c r="P334" s="491"/>
      <c r="Q334" s="491"/>
      <c r="R334" s="491"/>
      <c r="S334" s="491"/>
      <c r="T334" s="491"/>
      <c r="U334" s="491"/>
      <c r="V334" s="491"/>
      <c r="W334" s="491"/>
      <c r="X334" s="491"/>
    </row>
    <row r="335">
      <c r="A335" s="492">
        <v>45168.0</v>
      </c>
      <c r="B335" s="493" t="s">
        <v>911</v>
      </c>
      <c r="C335" s="484" t="s">
        <v>912</v>
      </c>
      <c r="D335" s="484"/>
      <c r="E335" s="484"/>
      <c r="F335" s="487">
        <v>63.61</v>
      </c>
      <c r="G335" s="487"/>
      <c r="H335" s="494">
        <v>1129336.87</v>
      </c>
      <c r="I335" s="494"/>
      <c r="J335" s="491"/>
      <c r="K335" s="491"/>
      <c r="L335" s="491"/>
      <c r="M335" s="491"/>
      <c r="N335" s="491"/>
      <c r="O335" s="491"/>
      <c r="P335" s="491"/>
      <c r="Q335" s="491"/>
      <c r="R335" s="491"/>
      <c r="S335" s="491"/>
      <c r="T335" s="491"/>
      <c r="U335" s="491"/>
      <c r="V335" s="491"/>
      <c r="W335" s="491"/>
      <c r="X335" s="491"/>
    </row>
    <row r="336">
      <c r="A336" s="492">
        <v>45168.0</v>
      </c>
      <c r="B336" s="493" t="s">
        <v>911</v>
      </c>
      <c r="C336" s="484" t="s">
        <v>913</v>
      </c>
      <c r="D336" s="484"/>
      <c r="E336" s="484"/>
      <c r="F336" s="487">
        <v>67.0</v>
      </c>
      <c r="G336" s="487"/>
      <c r="H336" s="494">
        <v>1129269.87</v>
      </c>
      <c r="I336" s="494"/>
      <c r="J336" s="491"/>
      <c r="K336" s="491"/>
      <c r="L336" s="491"/>
      <c r="M336" s="491"/>
      <c r="N336" s="491"/>
      <c r="O336" s="491"/>
      <c r="P336" s="491"/>
      <c r="Q336" s="491"/>
      <c r="R336" s="491"/>
      <c r="S336" s="491"/>
      <c r="T336" s="491"/>
      <c r="U336" s="491"/>
      <c r="V336" s="491"/>
      <c r="W336" s="491"/>
      <c r="X336" s="491"/>
    </row>
    <row r="337">
      <c r="A337" s="492">
        <v>45168.0</v>
      </c>
      <c r="B337" s="493" t="s">
        <v>911</v>
      </c>
      <c r="C337" s="484" t="s">
        <v>914</v>
      </c>
      <c r="D337" s="484"/>
      <c r="E337" s="484"/>
      <c r="F337" s="487">
        <v>27.67</v>
      </c>
      <c r="G337" s="487"/>
      <c r="H337" s="494">
        <v>1129242.2</v>
      </c>
      <c r="I337" s="494"/>
      <c r="J337" s="491"/>
      <c r="K337" s="491"/>
      <c r="L337" s="491"/>
      <c r="M337" s="491"/>
      <c r="N337" s="491"/>
      <c r="O337" s="491"/>
      <c r="P337" s="491"/>
      <c r="Q337" s="491"/>
      <c r="R337" s="491"/>
      <c r="S337" s="491"/>
      <c r="T337" s="491"/>
      <c r="U337" s="491"/>
      <c r="V337" s="491"/>
      <c r="W337" s="491"/>
      <c r="X337" s="491"/>
    </row>
    <row r="338">
      <c r="A338" s="492">
        <v>45168.0</v>
      </c>
      <c r="B338" s="493" t="s">
        <v>911</v>
      </c>
      <c r="C338" s="484" t="s">
        <v>915</v>
      </c>
      <c r="D338" s="484"/>
      <c r="E338" s="484"/>
      <c r="F338" s="487">
        <v>3.0</v>
      </c>
      <c r="G338" s="487"/>
      <c r="H338" s="494">
        <v>1129239.2</v>
      </c>
      <c r="I338" s="494"/>
      <c r="J338" s="491"/>
      <c r="K338" s="491"/>
      <c r="L338" s="491"/>
      <c r="M338" s="491"/>
      <c r="N338" s="491"/>
      <c r="O338" s="491"/>
      <c r="P338" s="491"/>
      <c r="Q338" s="491"/>
      <c r="R338" s="491"/>
      <c r="S338" s="491"/>
      <c r="T338" s="491"/>
      <c r="U338" s="491"/>
      <c r="V338" s="491"/>
      <c r="W338" s="491"/>
      <c r="X338" s="491"/>
    </row>
    <row r="339">
      <c r="A339" s="492">
        <v>45169.0</v>
      </c>
      <c r="B339" s="493" t="s">
        <v>916</v>
      </c>
      <c r="C339" s="484" t="s">
        <v>917</v>
      </c>
      <c r="D339" s="484"/>
      <c r="E339" s="484"/>
      <c r="F339" s="487">
        <v>34.99</v>
      </c>
      <c r="G339" s="487"/>
      <c r="H339" s="494">
        <v>1129204.21</v>
      </c>
      <c r="I339" s="494"/>
      <c r="J339" s="491"/>
      <c r="K339" s="491"/>
      <c r="L339" s="491"/>
      <c r="M339" s="491"/>
      <c r="N339" s="491"/>
      <c r="O339" s="491"/>
      <c r="P339" s="491"/>
      <c r="Q339" s="491"/>
      <c r="R339" s="491"/>
      <c r="S339" s="491"/>
      <c r="T339" s="491"/>
      <c r="U339" s="491"/>
      <c r="V339" s="491"/>
      <c r="W339" s="491"/>
      <c r="X339" s="491"/>
    </row>
    <row r="340">
      <c r="A340" s="492">
        <v>45169.0</v>
      </c>
      <c r="B340" s="493" t="s">
        <v>916</v>
      </c>
      <c r="C340" s="484" t="s">
        <v>833</v>
      </c>
      <c r="D340" s="484"/>
      <c r="E340" s="484"/>
      <c r="F340" s="487">
        <v>80.96</v>
      </c>
      <c r="G340" s="487"/>
      <c r="H340" s="494">
        <v>1129123.25</v>
      </c>
      <c r="I340" s="494"/>
      <c r="J340" s="491"/>
      <c r="K340" s="491"/>
      <c r="L340" s="491"/>
      <c r="M340" s="491"/>
      <c r="N340" s="491"/>
      <c r="O340" s="491"/>
      <c r="P340" s="491"/>
      <c r="Q340" s="491"/>
      <c r="R340" s="491"/>
      <c r="S340" s="491"/>
      <c r="T340" s="491"/>
      <c r="U340" s="491"/>
      <c r="V340" s="491"/>
      <c r="W340" s="491"/>
      <c r="X340" s="491"/>
    </row>
    <row r="341">
      <c r="A341" s="492">
        <v>45169.0</v>
      </c>
      <c r="B341" s="493" t="s">
        <v>916</v>
      </c>
      <c r="C341" s="484" t="s">
        <v>918</v>
      </c>
      <c r="D341" s="484"/>
      <c r="E341" s="484"/>
      <c r="F341" s="487">
        <v>19.99</v>
      </c>
      <c r="G341" s="487"/>
      <c r="H341" s="494">
        <v>1129103.26</v>
      </c>
      <c r="I341" s="494"/>
      <c r="J341" s="491"/>
      <c r="K341" s="491"/>
      <c r="L341" s="491"/>
      <c r="M341" s="491"/>
      <c r="N341" s="491"/>
      <c r="O341" s="491"/>
      <c r="P341" s="491"/>
      <c r="Q341" s="491"/>
      <c r="R341" s="491"/>
      <c r="S341" s="491"/>
      <c r="T341" s="491"/>
      <c r="U341" s="491"/>
      <c r="V341" s="491"/>
      <c r="W341" s="491"/>
      <c r="X341" s="491"/>
    </row>
    <row r="342">
      <c r="A342" s="492">
        <v>45169.0</v>
      </c>
      <c r="B342" s="493" t="s">
        <v>916</v>
      </c>
      <c r="C342" s="484" t="s">
        <v>702</v>
      </c>
      <c r="D342" s="484"/>
      <c r="E342" s="484"/>
      <c r="F342" s="487">
        <v>7.68</v>
      </c>
      <c r="G342" s="487"/>
      <c r="H342" s="494">
        <v>1129095.58</v>
      </c>
      <c r="I342" s="494"/>
      <c r="J342" s="491"/>
      <c r="K342" s="491"/>
      <c r="L342" s="491"/>
      <c r="M342" s="491"/>
      <c r="N342" s="491"/>
      <c r="O342" s="491"/>
      <c r="P342" s="491"/>
      <c r="Q342" s="491"/>
      <c r="R342" s="491"/>
      <c r="S342" s="491"/>
      <c r="T342" s="491"/>
      <c r="U342" s="491"/>
      <c r="V342" s="491"/>
      <c r="W342" s="491"/>
      <c r="X342" s="491"/>
    </row>
    <row r="343">
      <c r="A343" s="492">
        <v>45169.0</v>
      </c>
      <c r="B343" s="493" t="s">
        <v>916</v>
      </c>
      <c r="C343" s="484" t="s">
        <v>919</v>
      </c>
      <c r="D343" s="484"/>
      <c r="E343" s="484"/>
      <c r="F343" s="487">
        <v>4.0</v>
      </c>
      <c r="G343" s="487"/>
      <c r="H343" s="494">
        <v>1129091.58</v>
      </c>
      <c r="I343" s="494"/>
      <c r="J343" s="491"/>
      <c r="K343" s="491"/>
      <c r="L343" s="491"/>
      <c r="M343" s="491"/>
      <c r="N343" s="491"/>
      <c r="O343" s="491"/>
      <c r="P343" s="491"/>
      <c r="Q343" s="491"/>
      <c r="R343" s="491"/>
      <c r="S343" s="491"/>
      <c r="T343" s="491"/>
      <c r="U343" s="491"/>
      <c r="V343" s="491"/>
      <c r="W343" s="491"/>
      <c r="X343" s="491"/>
    </row>
    <row r="344">
      <c r="A344" s="492">
        <v>45169.0</v>
      </c>
      <c r="B344" s="493" t="s">
        <v>916</v>
      </c>
      <c r="C344" s="484" t="s">
        <v>920</v>
      </c>
      <c r="D344" s="484"/>
      <c r="E344" s="484"/>
      <c r="F344" s="487">
        <v>1260.0</v>
      </c>
      <c r="G344" s="487"/>
      <c r="H344" s="494">
        <v>1127831.58</v>
      </c>
      <c r="I344" s="494"/>
      <c r="J344" s="491"/>
      <c r="K344" s="491"/>
      <c r="L344" s="491"/>
      <c r="M344" s="491"/>
      <c r="N344" s="491"/>
      <c r="O344" s="491"/>
      <c r="P344" s="491"/>
      <c r="Q344" s="491"/>
      <c r="R344" s="491"/>
      <c r="S344" s="491"/>
      <c r="T344" s="491"/>
      <c r="U344" s="491"/>
      <c r="V344" s="491"/>
      <c r="W344" s="491"/>
      <c r="X344" s="491"/>
    </row>
    <row r="345">
      <c r="A345" s="492">
        <v>45169.0</v>
      </c>
      <c r="B345" s="493" t="s">
        <v>801</v>
      </c>
      <c r="C345" s="484" t="s">
        <v>802</v>
      </c>
      <c r="D345" s="484"/>
      <c r="E345" s="484"/>
      <c r="F345" s="487">
        <v>154060.85</v>
      </c>
      <c r="G345" s="487"/>
      <c r="H345" s="494">
        <v>973770.73</v>
      </c>
      <c r="I345" s="494"/>
      <c r="J345" s="491"/>
      <c r="K345" s="491"/>
      <c r="L345" s="491"/>
      <c r="M345" s="491"/>
      <c r="N345" s="491"/>
      <c r="O345" s="491"/>
      <c r="P345" s="491"/>
      <c r="Q345" s="491"/>
      <c r="R345" s="491"/>
      <c r="S345" s="491"/>
      <c r="T345" s="491"/>
      <c r="U345" s="491"/>
      <c r="V345" s="491"/>
      <c r="W345" s="491"/>
      <c r="X345" s="491"/>
    </row>
    <row r="346">
      <c r="A346" s="492">
        <v>45169.0</v>
      </c>
      <c r="B346" s="493" t="s">
        <v>803</v>
      </c>
      <c r="C346" s="484" t="s">
        <v>804</v>
      </c>
      <c r="D346" s="484"/>
      <c r="E346" s="484"/>
      <c r="F346" s="487">
        <v>653.95</v>
      </c>
      <c r="G346" s="487"/>
      <c r="H346" s="494">
        <v>973116.78</v>
      </c>
      <c r="I346" s="494"/>
      <c r="J346" s="491"/>
      <c r="K346" s="491"/>
      <c r="L346" s="491"/>
      <c r="M346" s="491"/>
      <c r="N346" s="491"/>
      <c r="O346" s="491"/>
      <c r="P346" s="491"/>
      <c r="Q346" s="491"/>
      <c r="R346" s="491"/>
      <c r="S346" s="491"/>
      <c r="T346" s="491"/>
      <c r="U346" s="491"/>
      <c r="V346" s="491"/>
      <c r="W346" s="491"/>
      <c r="X346" s="491"/>
    </row>
    <row r="347">
      <c r="A347" s="492">
        <v>45169.0</v>
      </c>
      <c r="B347" s="493" t="s">
        <v>805</v>
      </c>
      <c r="C347" s="484" t="s">
        <v>806</v>
      </c>
      <c r="D347" s="484"/>
      <c r="E347" s="484"/>
      <c r="F347" s="487">
        <v>60902.0</v>
      </c>
      <c r="G347" s="487"/>
      <c r="H347" s="494">
        <v>912214.78</v>
      </c>
      <c r="I347" s="494"/>
      <c r="J347" s="491"/>
      <c r="K347" s="491"/>
      <c r="L347" s="491"/>
      <c r="M347" s="491"/>
      <c r="N347" s="491"/>
      <c r="O347" s="491"/>
      <c r="P347" s="491"/>
      <c r="Q347" s="491"/>
      <c r="R347" s="491"/>
      <c r="S347" s="491"/>
      <c r="T347" s="491"/>
      <c r="U347" s="491"/>
      <c r="V347" s="491"/>
      <c r="W347" s="491"/>
      <c r="X347" s="491"/>
    </row>
    <row r="348">
      <c r="A348" s="491"/>
      <c r="B348" s="491"/>
      <c r="C348" s="491"/>
      <c r="D348" s="502"/>
      <c r="E348" s="502"/>
      <c r="F348" s="494"/>
      <c r="G348" s="494"/>
      <c r="H348" s="494"/>
      <c r="I348" s="503"/>
      <c r="J348" s="491"/>
      <c r="K348" s="491"/>
      <c r="L348" s="504"/>
      <c r="M348" s="491"/>
      <c r="N348" s="491"/>
      <c r="O348" s="505"/>
      <c r="P348" s="491"/>
      <c r="Q348" s="491"/>
      <c r="R348" s="491"/>
      <c r="S348" s="491"/>
      <c r="T348" s="491"/>
      <c r="U348" s="491"/>
      <c r="V348" s="491"/>
      <c r="W348" s="491"/>
      <c r="X348" s="491"/>
    </row>
    <row r="349">
      <c r="A349" s="491"/>
      <c r="B349" s="491"/>
      <c r="C349" s="491"/>
      <c r="D349" s="502" t="s">
        <v>921</v>
      </c>
      <c r="F349" s="506">
        <f t="shared" ref="F349:G349" si="1">SUM(F7:F347)</f>
        <v>1239997.49</v>
      </c>
      <c r="G349" s="506">
        <f t="shared" si="1"/>
        <v>495660.66</v>
      </c>
      <c r="H349" s="494">
        <f>H347</f>
        <v>912214.78</v>
      </c>
      <c r="I349" s="503"/>
      <c r="J349" s="491"/>
      <c r="K349" s="491"/>
      <c r="L349" s="491"/>
      <c r="M349" s="491"/>
      <c r="N349" s="491"/>
      <c r="O349" s="505"/>
      <c r="P349" s="491"/>
      <c r="Q349" s="491"/>
      <c r="R349" s="491"/>
      <c r="S349" s="491"/>
      <c r="T349" s="491"/>
      <c r="U349" s="491"/>
      <c r="V349" s="491"/>
      <c r="W349" s="491"/>
      <c r="X349" s="491"/>
    </row>
    <row r="350">
      <c r="A350" s="491"/>
      <c r="B350" s="491"/>
      <c r="C350" s="491"/>
      <c r="D350" s="491"/>
      <c r="E350" s="491"/>
      <c r="F350" s="493"/>
      <c r="G350" s="507"/>
      <c r="H350" s="494"/>
      <c r="I350" s="503"/>
      <c r="J350" s="491"/>
      <c r="K350" s="491"/>
      <c r="L350" s="491"/>
      <c r="M350" s="491"/>
      <c r="N350" s="491"/>
      <c r="O350" s="491"/>
      <c r="P350" s="491"/>
      <c r="Q350" s="491"/>
      <c r="R350" s="491"/>
      <c r="S350" s="491"/>
      <c r="T350" s="491"/>
      <c r="U350" s="491"/>
      <c r="V350" s="491"/>
      <c r="W350" s="491"/>
      <c r="X350" s="491"/>
    </row>
    <row r="351">
      <c r="A351" s="57" t="s">
        <v>922</v>
      </c>
      <c r="B351" s="48"/>
      <c r="H351" s="395"/>
    </row>
    <row r="352">
      <c r="B352" s="48"/>
      <c r="H352" s="395"/>
    </row>
    <row r="353">
      <c r="A353" s="508" t="s">
        <v>552</v>
      </c>
      <c r="B353" s="509"/>
      <c r="C353" s="44"/>
      <c r="D353" s="44"/>
      <c r="E353" s="44"/>
      <c r="F353" s="510"/>
      <c r="G353" s="510"/>
      <c r="H353" s="511" t="s">
        <v>923</v>
      </c>
    </row>
    <row r="354">
      <c r="A354" s="372"/>
      <c r="B354" s="48"/>
      <c r="D354" s="512" t="s">
        <v>924</v>
      </c>
      <c r="F354" s="513"/>
      <c r="G354" s="513"/>
      <c r="H354" s="494">
        <v>4328.12</v>
      </c>
    </row>
    <row r="355">
      <c r="A355" s="372"/>
      <c r="B355" s="48"/>
      <c r="D355" s="514"/>
      <c r="F355" s="515"/>
      <c r="G355" s="515"/>
      <c r="H355" s="516">
        <f>H354+G355</f>
        <v>4328.12</v>
      </c>
    </row>
    <row r="356">
      <c r="A356" s="372"/>
      <c r="B356" s="48"/>
      <c r="D356" s="517" t="s">
        <v>925</v>
      </c>
      <c r="F356" s="518">
        <f t="shared" ref="F356:G356" si="2">SUM(F355)</f>
        <v>0</v>
      </c>
      <c r="G356" s="518">
        <f t="shared" si="2"/>
        <v>0</v>
      </c>
      <c r="H356" s="519">
        <f>H355</f>
        <v>4328.12</v>
      </c>
    </row>
    <row r="357">
      <c r="A357" s="372"/>
      <c r="B357" s="48"/>
      <c r="F357" s="515"/>
      <c r="G357" s="515"/>
      <c r="H357" s="520"/>
      <c r="J357" s="41" t="s">
        <v>460</v>
      </c>
    </row>
    <row r="358">
      <c r="A358" s="372"/>
      <c r="B358" s="48"/>
      <c r="E358" s="41" t="s">
        <v>926</v>
      </c>
      <c r="F358" s="521">
        <f t="shared" ref="F358:G358" si="3">F349+F356</f>
        <v>1239997.49</v>
      </c>
      <c r="G358" s="521">
        <f t="shared" si="3"/>
        <v>495660.66</v>
      </c>
      <c r="H358" s="522"/>
      <c r="I358" s="523"/>
      <c r="J358" s="524">
        <f>G358-F358</f>
        <v>-744336.83</v>
      </c>
    </row>
    <row r="359">
      <c r="A359" s="372"/>
      <c r="B359" s="48"/>
      <c r="F359" s="525"/>
      <c r="G359" s="526"/>
      <c r="H359" s="520"/>
    </row>
    <row r="360">
      <c r="A360" s="372"/>
      <c r="B360" s="48"/>
      <c r="F360" s="525"/>
      <c r="G360" s="525"/>
    </row>
    <row r="361">
      <c r="A361" s="372"/>
      <c r="B361" s="48"/>
      <c r="F361" s="525"/>
      <c r="G361" s="526"/>
      <c r="H361" s="520"/>
    </row>
    <row r="362">
      <c r="B362" s="48"/>
    </row>
    <row r="363">
      <c r="B363" s="48"/>
      <c r="H363" s="395"/>
    </row>
    <row r="364">
      <c r="B364" s="48"/>
      <c r="H364" s="395"/>
    </row>
    <row r="365">
      <c r="B365" s="48"/>
      <c r="H365" s="395"/>
    </row>
    <row r="366">
      <c r="B366" s="48"/>
      <c r="H366" s="395"/>
    </row>
    <row r="367">
      <c r="B367" s="48"/>
      <c r="H367" s="395"/>
    </row>
    <row r="368">
      <c r="B368" s="48"/>
      <c r="H368" s="395"/>
    </row>
    <row r="369">
      <c r="B369" s="48"/>
      <c r="H369" s="395"/>
    </row>
    <row r="370">
      <c r="B370" s="48"/>
      <c r="H370" s="395"/>
    </row>
    <row r="371">
      <c r="B371" s="48"/>
      <c r="H371" s="395"/>
    </row>
    <row r="372">
      <c r="B372" s="48"/>
      <c r="H372" s="395"/>
    </row>
    <row r="373">
      <c r="B373" s="48"/>
      <c r="H373" s="395"/>
    </row>
    <row r="374">
      <c r="B374" s="48"/>
      <c r="H374" s="395"/>
    </row>
    <row r="375">
      <c r="B375" s="48"/>
      <c r="H375" s="395"/>
    </row>
    <row r="376">
      <c r="B376" s="48"/>
      <c r="H376" s="395"/>
    </row>
    <row r="377">
      <c r="B377" s="48"/>
      <c r="H377" s="395"/>
    </row>
    <row r="378">
      <c r="B378" s="48"/>
      <c r="H378" s="395"/>
    </row>
    <row r="379">
      <c r="B379" s="48"/>
      <c r="H379" s="395"/>
    </row>
    <row r="380">
      <c r="B380" s="48"/>
      <c r="H380" s="395"/>
    </row>
    <row r="381">
      <c r="B381" s="48"/>
      <c r="H381" s="395"/>
    </row>
    <row r="382">
      <c r="B382" s="48"/>
      <c r="H382" s="395"/>
    </row>
    <row r="383">
      <c r="B383" s="48"/>
      <c r="H383" s="395"/>
    </row>
    <row r="384">
      <c r="B384" s="48"/>
      <c r="H384" s="395"/>
    </row>
    <row r="385">
      <c r="B385" s="48"/>
      <c r="H385" s="395"/>
    </row>
    <row r="386">
      <c r="B386" s="48"/>
      <c r="H386" s="395"/>
    </row>
    <row r="387">
      <c r="B387" s="48"/>
      <c r="H387" s="395"/>
    </row>
    <row r="388">
      <c r="B388" s="48"/>
      <c r="H388" s="395"/>
    </row>
    <row r="389">
      <c r="B389" s="48"/>
      <c r="H389" s="395"/>
    </row>
    <row r="390">
      <c r="B390" s="48"/>
      <c r="H390" s="395"/>
    </row>
    <row r="391">
      <c r="B391" s="48"/>
      <c r="H391" s="395"/>
    </row>
    <row r="392">
      <c r="B392" s="48"/>
      <c r="H392" s="395"/>
    </row>
    <row r="393">
      <c r="B393" s="48"/>
      <c r="H393" s="395"/>
    </row>
    <row r="394">
      <c r="B394" s="48"/>
      <c r="H394" s="395"/>
    </row>
    <row r="395">
      <c r="B395" s="48"/>
      <c r="H395" s="395"/>
    </row>
    <row r="396">
      <c r="B396" s="48"/>
      <c r="H396" s="395"/>
    </row>
    <row r="397">
      <c r="B397" s="48"/>
      <c r="H397" s="395"/>
    </row>
    <row r="398">
      <c r="B398" s="48"/>
      <c r="H398" s="395"/>
    </row>
    <row r="399">
      <c r="B399" s="48"/>
      <c r="H399" s="395"/>
    </row>
    <row r="400">
      <c r="B400" s="48"/>
      <c r="H400" s="395"/>
    </row>
    <row r="401">
      <c r="B401" s="48"/>
      <c r="H401" s="395"/>
    </row>
    <row r="402">
      <c r="B402" s="48"/>
      <c r="H402" s="395"/>
    </row>
    <row r="403">
      <c r="B403" s="48"/>
      <c r="H403" s="395"/>
    </row>
    <row r="404">
      <c r="B404" s="48"/>
      <c r="H404" s="395"/>
    </row>
    <row r="405">
      <c r="B405" s="48"/>
      <c r="H405" s="395"/>
    </row>
    <row r="406">
      <c r="B406" s="48"/>
      <c r="H406" s="395"/>
    </row>
    <row r="407">
      <c r="B407" s="48"/>
      <c r="H407" s="395"/>
    </row>
    <row r="408">
      <c r="B408" s="48"/>
      <c r="H408" s="395"/>
    </row>
    <row r="409">
      <c r="B409" s="48"/>
      <c r="H409" s="395"/>
    </row>
    <row r="410">
      <c r="B410" s="48"/>
      <c r="H410" s="395"/>
    </row>
    <row r="411">
      <c r="B411" s="48"/>
      <c r="H411" s="395"/>
    </row>
    <row r="412">
      <c r="B412" s="48"/>
      <c r="H412" s="395"/>
    </row>
    <row r="413">
      <c r="B413" s="48"/>
      <c r="H413" s="395"/>
    </row>
    <row r="414">
      <c r="B414" s="48"/>
      <c r="H414" s="395"/>
    </row>
    <row r="415">
      <c r="B415" s="48"/>
      <c r="H415" s="395"/>
    </row>
    <row r="416">
      <c r="B416" s="48"/>
      <c r="H416" s="395"/>
    </row>
    <row r="417">
      <c r="B417" s="48"/>
      <c r="H417" s="395"/>
    </row>
    <row r="418">
      <c r="B418" s="48"/>
      <c r="H418" s="395"/>
    </row>
    <row r="419">
      <c r="B419" s="48"/>
      <c r="H419" s="395"/>
    </row>
    <row r="420">
      <c r="B420" s="48"/>
      <c r="H420" s="395"/>
    </row>
    <row r="421">
      <c r="B421" s="48"/>
      <c r="H421" s="395"/>
    </row>
    <row r="422">
      <c r="B422" s="48"/>
      <c r="H422" s="395"/>
    </row>
    <row r="423">
      <c r="B423" s="48"/>
      <c r="H423" s="395"/>
    </row>
    <row r="424">
      <c r="B424" s="48"/>
      <c r="H424" s="395"/>
    </row>
    <row r="425">
      <c r="B425" s="48"/>
      <c r="H425" s="395"/>
    </row>
    <row r="426">
      <c r="B426" s="48"/>
      <c r="H426" s="395"/>
    </row>
    <row r="427">
      <c r="B427" s="48"/>
      <c r="H427" s="395"/>
    </row>
    <row r="428">
      <c r="B428" s="48"/>
      <c r="H428" s="395"/>
    </row>
    <row r="429">
      <c r="B429" s="48"/>
      <c r="H429" s="395"/>
    </row>
    <row r="430">
      <c r="B430" s="48"/>
      <c r="H430" s="395"/>
    </row>
    <row r="431">
      <c r="B431" s="48"/>
      <c r="H431" s="395"/>
    </row>
    <row r="432">
      <c r="B432" s="48"/>
      <c r="H432" s="395"/>
    </row>
    <row r="433">
      <c r="B433" s="48"/>
      <c r="H433" s="395"/>
    </row>
    <row r="434">
      <c r="B434" s="48"/>
      <c r="H434" s="395"/>
    </row>
    <row r="435">
      <c r="B435" s="48"/>
      <c r="H435" s="395"/>
    </row>
    <row r="436">
      <c r="B436" s="48"/>
      <c r="H436" s="395"/>
    </row>
    <row r="437">
      <c r="B437" s="48"/>
      <c r="H437" s="395"/>
    </row>
    <row r="438">
      <c r="B438" s="48"/>
      <c r="H438" s="395"/>
    </row>
    <row r="439">
      <c r="B439" s="48"/>
      <c r="H439" s="395"/>
    </row>
    <row r="440">
      <c r="B440" s="48"/>
      <c r="H440" s="395"/>
    </row>
    <row r="441">
      <c r="B441" s="48"/>
      <c r="H441" s="395"/>
    </row>
    <row r="442">
      <c r="B442" s="48"/>
      <c r="H442" s="395"/>
    </row>
    <row r="443">
      <c r="B443" s="48"/>
      <c r="H443" s="395"/>
    </row>
    <row r="444">
      <c r="B444" s="48"/>
      <c r="H444" s="395"/>
    </row>
    <row r="445">
      <c r="B445" s="48"/>
      <c r="H445" s="395"/>
    </row>
    <row r="446">
      <c r="B446" s="48"/>
      <c r="H446" s="395"/>
    </row>
    <row r="447">
      <c r="B447" s="48"/>
      <c r="H447" s="395"/>
    </row>
    <row r="448">
      <c r="B448" s="48"/>
      <c r="H448" s="395"/>
    </row>
    <row r="449">
      <c r="B449" s="48"/>
      <c r="H449" s="395"/>
    </row>
    <row r="450">
      <c r="B450" s="48"/>
      <c r="H450" s="395"/>
    </row>
    <row r="451">
      <c r="B451" s="48"/>
      <c r="H451" s="395"/>
    </row>
    <row r="452">
      <c r="B452" s="48"/>
      <c r="H452" s="395"/>
    </row>
    <row r="453">
      <c r="B453" s="48"/>
      <c r="H453" s="395"/>
    </row>
    <row r="454">
      <c r="B454" s="48"/>
      <c r="H454" s="395"/>
    </row>
    <row r="455">
      <c r="B455" s="48"/>
      <c r="H455" s="395"/>
    </row>
    <row r="456">
      <c r="B456" s="48"/>
      <c r="H456" s="395"/>
    </row>
    <row r="457">
      <c r="B457" s="48"/>
      <c r="H457" s="395"/>
    </row>
    <row r="458">
      <c r="B458" s="48"/>
      <c r="H458" s="395"/>
    </row>
    <row r="459">
      <c r="B459" s="48"/>
      <c r="H459" s="395"/>
    </row>
    <row r="460">
      <c r="B460" s="48"/>
      <c r="H460" s="395"/>
    </row>
    <row r="461">
      <c r="B461" s="48"/>
      <c r="H461" s="395"/>
    </row>
    <row r="462">
      <c r="B462" s="48"/>
      <c r="H462" s="395"/>
    </row>
    <row r="463">
      <c r="B463" s="48"/>
      <c r="H463" s="395"/>
    </row>
    <row r="464">
      <c r="B464" s="48"/>
      <c r="H464" s="395"/>
    </row>
    <row r="465">
      <c r="B465" s="48"/>
      <c r="H465" s="395"/>
    </row>
    <row r="466">
      <c r="B466" s="48"/>
      <c r="H466" s="395"/>
    </row>
    <row r="467">
      <c r="B467" s="48"/>
      <c r="H467" s="395"/>
    </row>
    <row r="468">
      <c r="B468" s="48"/>
      <c r="H468" s="395"/>
    </row>
    <row r="469">
      <c r="B469" s="48"/>
      <c r="H469" s="395"/>
    </row>
    <row r="470">
      <c r="B470" s="48"/>
      <c r="H470" s="395"/>
    </row>
    <row r="471">
      <c r="B471" s="48"/>
      <c r="H471" s="395"/>
    </row>
    <row r="472">
      <c r="B472" s="48"/>
      <c r="H472" s="395"/>
    </row>
    <row r="473">
      <c r="B473" s="48"/>
      <c r="H473" s="395"/>
    </row>
    <row r="474">
      <c r="B474" s="48"/>
      <c r="H474" s="395"/>
    </row>
    <row r="475">
      <c r="B475" s="48"/>
      <c r="H475" s="395"/>
    </row>
    <row r="476">
      <c r="B476" s="48"/>
      <c r="H476" s="395"/>
    </row>
    <row r="477">
      <c r="B477" s="48"/>
      <c r="H477" s="395"/>
    </row>
    <row r="478">
      <c r="B478" s="48"/>
      <c r="H478" s="395"/>
    </row>
    <row r="479">
      <c r="B479" s="48"/>
      <c r="H479" s="395"/>
    </row>
    <row r="480">
      <c r="B480" s="48"/>
      <c r="H480" s="395"/>
    </row>
    <row r="481">
      <c r="B481" s="48"/>
      <c r="H481" s="395"/>
    </row>
    <row r="482">
      <c r="B482" s="48"/>
      <c r="H482" s="395"/>
    </row>
    <row r="483">
      <c r="B483" s="48"/>
      <c r="H483" s="395"/>
    </row>
    <row r="484">
      <c r="B484" s="48"/>
      <c r="H484" s="395"/>
    </row>
    <row r="485">
      <c r="B485" s="48"/>
      <c r="H485" s="395"/>
    </row>
    <row r="486">
      <c r="B486" s="48"/>
      <c r="H486" s="395"/>
    </row>
    <row r="487">
      <c r="B487" s="48"/>
      <c r="H487" s="395"/>
    </row>
    <row r="488">
      <c r="B488" s="48"/>
      <c r="H488" s="395"/>
    </row>
    <row r="489">
      <c r="B489" s="48"/>
      <c r="H489" s="395"/>
    </row>
    <row r="490">
      <c r="B490" s="48"/>
      <c r="H490" s="395"/>
    </row>
    <row r="491">
      <c r="B491" s="48"/>
      <c r="H491" s="395"/>
    </row>
    <row r="492">
      <c r="B492" s="48"/>
      <c r="H492" s="395"/>
    </row>
    <row r="493">
      <c r="B493" s="48"/>
      <c r="H493" s="395"/>
    </row>
    <row r="494">
      <c r="B494" s="48"/>
      <c r="H494" s="395"/>
    </row>
    <row r="495">
      <c r="B495" s="48"/>
      <c r="H495" s="395"/>
    </row>
    <row r="496">
      <c r="B496" s="48"/>
      <c r="H496" s="395"/>
    </row>
    <row r="497">
      <c r="B497" s="48"/>
      <c r="H497" s="395"/>
    </row>
    <row r="498">
      <c r="B498" s="48"/>
      <c r="H498" s="395"/>
    </row>
    <row r="499">
      <c r="B499" s="48"/>
      <c r="H499" s="395"/>
    </row>
    <row r="500">
      <c r="B500" s="48"/>
      <c r="H500" s="395"/>
    </row>
    <row r="501">
      <c r="B501" s="48"/>
      <c r="H501" s="395"/>
    </row>
    <row r="502">
      <c r="B502" s="48"/>
      <c r="H502" s="395"/>
    </row>
    <row r="503">
      <c r="B503" s="48"/>
      <c r="H503" s="395"/>
    </row>
    <row r="504">
      <c r="B504" s="48"/>
      <c r="H504" s="395"/>
    </row>
    <row r="505">
      <c r="B505" s="48"/>
      <c r="H505" s="395"/>
    </row>
    <row r="506">
      <c r="B506" s="48"/>
      <c r="H506" s="395"/>
    </row>
    <row r="507">
      <c r="B507" s="48"/>
      <c r="H507" s="395"/>
    </row>
    <row r="508">
      <c r="B508" s="48"/>
      <c r="H508" s="395"/>
    </row>
    <row r="509">
      <c r="B509" s="48"/>
      <c r="H509" s="395"/>
    </row>
    <row r="510">
      <c r="B510" s="48"/>
      <c r="H510" s="395"/>
    </row>
    <row r="511">
      <c r="B511" s="48"/>
      <c r="H511" s="395"/>
    </row>
    <row r="512">
      <c r="B512" s="48"/>
      <c r="H512" s="395"/>
    </row>
    <row r="513">
      <c r="B513" s="48"/>
      <c r="H513" s="395"/>
    </row>
    <row r="514">
      <c r="B514" s="48"/>
      <c r="H514" s="395"/>
    </row>
    <row r="515">
      <c r="B515" s="48"/>
      <c r="H515" s="395"/>
    </row>
    <row r="516">
      <c r="B516" s="48"/>
      <c r="H516" s="395"/>
    </row>
    <row r="517">
      <c r="B517" s="48"/>
      <c r="H517" s="395"/>
    </row>
    <row r="518">
      <c r="B518" s="48"/>
      <c r="H518" s="395"/>
    </row>
    <row r="519">
      <c r="B519" s="48"/>
      <c r="H519" s="395"/>
    </row>
    <row r="520">
      <c r="B520" s="48"/>
      <c r="H520" s="395"/>
    </row>
    <row r="521">
      <c r="B521" s="48"/>
      <c r="H521" s="395"/>
    </row>
    <row r="522">
      <c r="B522" s="48"/>
      <c r="H522" s="395"/>
    </row>
    <row r="523">
      <c r="B523" s="48"/>
      <c r="H523" s="395"/>
    </row>
    <row r="524">
      <c r="B524" s="48"/>
      <c r="H524" s="395"/>
    </row>
    <row r="525">
      <c r="B525" s="48"/>
      <c r="H525" s="395"/>
    </row>
    <row r="526">
      <c r="B526" s="48"/>
      <c r="H526" s="395"/>
    </row>
    <row r="527">
      <c r="B527" s="48"/>
      <c r="H527" s="395"/>
    </row>
    <row r="528">
      <c r="B528" s="48"/>
      <c r="H528" s="395"/>
    </row>
    <row r="529">
      <c r="B529" s="48"/>
      <c r="H529" s="395"/>
    </row>
    <row r="530">
      <c r="B530" s="48"/>
      <c r="H530" s="395"/>
    </row>
    <row r="531">
      <c r="B531" s="48"/>
      <c r="H531" s="395"/>
    </row>
    <row r="532">
      <c r="B532" s="48"/>
      <c r="H532" s="395"/>
    </row>
    <row r="533">
      <c r="B533" s="48"/>
      <c r="H533" s="395"/>
    </row>
    <row r="534">
      <c r="B534" s="48"/>
      <c r="H534" s="395"/>
    </row>
    <row r="535">
      <c r="B535" s="48"/>
      <c r="H535" s="395"/>
    </row>
    <row r="536">
      <c r="B536" s="48"/>
      <c r="H536" s="395"/>
    </row>
    <row r="537">
      <c r="B537" s="48"/>
      <c r="H537" s="395"/>
    </row>
    <row r="538">
      <c r="B538" s="48"/>
      <c r="H538" s="395"/>
    </row>
    <row r="539">
      <c r="B539" s="48"/>
      <c r="H539" s="395"/>
    </row>
    <row r="540">
      <c r="B540" s="48"/>
      <c r="H540" s="395"/>
    </row>
    <row r="541">
      <c r="B541" s="48"/>
      <c r="H541" s="395"/>
    </row>
    <row r="542">
      <c r="B542" s="48"/>
      <c r="H542" s="395"/>
    </row>
    <row r="543">
      <c r="B543" s="48"/>
      <c r="H543" s="395"/>
    </row>
    <row r="544">
      <c r="B544" s="48"/>
      <c r="H544" s="395"/>
    </row>
    <row r="545">
      <c r="B545" s="48"/>
      <c r="H545" s="395"/>
    </row>
    <row r="546">
      <c r="B546" s="48"/>
      <c r="H546" s="395"/>
    </row>
    <row r="547">
      <c r="B547" s="48"/>
      <c r="H547" s="395"/>
    </row>
    <row r="548">
      <c r="B548" s="48"/>
      <c r="H548" s="395"/>
    </row>
    <row r="549">
      <c r="B549" s="48"/>
      <c r="H549" s="395"/>
    </row>
    <row r="550">
      <c r="B550" s="48"/>
      <c r="H550" s="395"/>
    </row>
    <row r="551">
      <c r="B551" s="48"/>
      <c r="H551" s="395"/>
    </row>
    <row r="552">
      <c r="B552" s="48"/>
      <c r="H552" s="395"/>
    </row>
    <row r="553">
      <c r="B553" s="48"/>
      <c r="H553" s="395"/>
    </row>
    <row r="554">
      <c r="B554" s="48"/>
      <c r="H554" s="395"/>
    </row>
    <row r="555">
      <c r="B555" s="48"/>
      <c r="H555" s="395"/>
    </row>
    <row r="556">
      <c r="B556" s="48"/>
      <c r="H556" s="395"/>
    </row>
    <row r="557">
      <c r="B557" s="48"/>
      <c r="H557" s="395"/>
    </row>
    <row r="558">
      <c r="B558" s="48"/>
      <c r="H558" s="395"/>
    </row>
    <row r="559">
      <c r="B559" s="48"/>
      <c r="H559" s="395"/>
    </row>
    <row r="560">
      <c r="B560" s="48"/>
      <c r="H560" s="395"/>
    </row>
    <row r="561">
      <c r="B561" s="48"/>
      <c r="H561" s="395"/>
    </row>
    <row r="562">
      <c r="B562" s="48"/>
      <c r="H562" s="395"/>
    </row>
    <row r="563">
      <c r="B563" s="48"/>
      <c r="H563" s="395"/>
    </row>
    <row r="564">
      <c r="B564" s="48"/>
      <c r="H564" s="395"/>
    </row>
    <row r="565">
      <c r="B565" s="48"/>
      <c r="H565" s="395"/>
    </row>
    <row r="566">
      <c r="B566" s="48"/>
      <c r="H566" s="395"/>
    </row>
    <row r="567">
      <c r="B567" s="48"/>
      <c r="H567" s="395"/>
    </row>
    <row r="568">
      <c r="B568" s="48"/>
      <c r="H568" s="395"/>
    </row>
    <row r="569">
      <c r="B569" s="48"/>
      <c r="H569" s="395"/>
    </row>
    <row r="570">
      <c r="B570" s="48"/>
      <c r="H570" s="395"/>
    </row>
    <row r="571">
      <c r="B571" s="48"/>
      <c r="H571" s="395"/>
    </row>
    <row r="572">
      <c r="B572" s="48"/>
      <c r="H572" s="395"/>
    </row>
    <row r="573">
      <c r="B573" s="48"/>
      <c r="H573" s="395"/>
    </row>
    <row r="574">
      <c r="B574" s="48"/>
      <c r="H574" s="395"/>
    </row>
    <row r="575">
      <c r="B575" s="48"/>
      <c r="H575" s="395"/>
    </row>
    <row r="576">
      <c r="B576" s="48"/>
      <c r="H576" s="395"/>
    </row>
    <row r="577">
      <c r="B577" s="48"/>
      <c r="H577" s="395"/>
    </row>
    <row r="578">
      <c r="B578" s="48"/>
      <c r="H578" s="395"/>
    </row>
    <row r="579">
      <c r="B579" s="48"/>
      <c r="H579" s="395"/>
    </row>
    <row r="580">
      <c r="B580" s="48"/>
      <c r="H580" s="395"/>
    </row>
    <row r="581">
      <c r="B581" s="48"/>
      <c r="H581" s="395"/>
    </row>
    <row r="582">
      <c r="B582" s="48"/>
      <c r="H582" s="395"/>
    </row>
    <row r="583">
      <c r="B583" s="48"/>
      <c r="H583" s="395"/>
    </row>
    <row r="584">
      <c r="B584" s="48"/>
      <c r="H584" s="395"/>
    </row>
    <row r="585">
      <c r="B585" s="48"/>
      <c r="H585" s="395"/>
    </row>
    <row r="586">
      <c r="B586" s="48"/>
      <c r="H586" s="395"/>
    </row>
    <row r="587">
      <c r="B587" s="48"/>
      <c r="H587" s="395"/>
    </row>
    <row r="588">
      <c r="B588" s="48"/>
      <c r="H588" s="395"/>
    </row>
    <row r="589">
      <c r="B589" s="48"/>
      <c r="H589" s="395"/>
    </row>
    <row r="590">
      <c r="B590" s="48"/>
      <c r="H590" s="395"/>
    </row>
    <row r="591">
      <c r="B591" s="48"/>
      <c r="H591" s="395"/>
    </row>
    <row r="592">
      <c r="B592" s="48"/>
      <c r="H592" s="395"/>
    </row>
    <row r="593">
      <c r="B593" s="48"/>
      <c r="H593" s="395"/>
    </row>
    <row r="594">
      <c r="B594" s="48"/>
      <c r="H594" s="395"/>
    </row>
    <row r="595">
      <c r="B595" s="48"/>
      <c r="H595" s="395"/>
    </row>
    <row r="596">
      <c r="B596" s="48"/>
      <c r="H596" s="395"/>
    </row>
    <row r="597">
      <c r="B597" s="48"/>
      <c r="H597" s="395"/>
    </row>
    <row r="598">
      <c r="B598" s="48"/>
      <c r="H598" s="395"/>
    </row>
    <row r="599">
      <c r="B599" s="48"/>
      <c r="H599" s="395"/>
    </row>
    <row r="600">
      <c r="B600" s="48"/>
      <c r="H600" s="395"/>
    </row>
    <row r="601">
      <c r="B601" s="48"/>
      <c r="H601" s="395"/>
    </row>
    <row r="602">
      <c r="B602" s="48"/>
      <c r="H602" s="395"/>
    </row>
    <row r="603">
      <c r="B603" s="48"/>
      <c r="H603" s="395"/>
    </row>
    <row r="604">
      <c r="B604" s="48"/>
      <c r="H604" s="395"/>
    </row>
    <row r="605">
      <c r="B605" s="48"/>
      <c r="H605" s="395"/>
    </row>
    <row r="606">
      <c r="B606" s="48"/>
      <c r="H606" s="395"/>
    </row>
    <row r="607">
      <c r="B607" s="48"/>
      <c r="H607" s="395"/>
    </row>
    <row r="608">
      <c r="B608" s="48"/>
      <c r="H608" s="395"/>
    </row>
    <row r="609">
      <c r="B609" s="48"/>
      <c r="H609" s="395"/>
    </row>
    <row r="610">
      <c r="B610" s="48"/>
      <c r="H610" s="395"/>
    </row>
    <row r="611">
      <c r="B611" s="48"/>
      <c r="H611" s="395"/>
    </row>
    <row r="612">
      <c r="B612" s="48"/>
      <c r="H612" s="395"/>
    </row>
    <row r="613">
      <c r="B613" s="48"/>
      <c r="H613" s="395"/>
    </row>
    <row r="614">
      <c r="B614" s="48"/>
      <c r="H614" s="395"/>
    </row>
    <row r="615">
      <c r="B615" s="48"/>
      <c r="H615" s="395"/>
    </row>
    <row r="616">
      <c r="B616" s="48"/>
      <c r="H616" s="395"/>
    </row>
    <row r="617">
      <c r="B617" s="48"/>
      <c r="H617" s="395"/>
    </row>
    <row r="618">
      <c r="B618" s="48"/>
      <c r="H618" s="395"/>
    </row>
    <row r="619">
      <c r="B619" s="48"/>
      <c r="H619" s="395"/>
    </row>
    <row r="620">
      <c r="B620" s="48"/>
      <c r="H620" s="395"/>
    </row>
    <row r="621">
      <c r="B621" s="48"/>
      <c r="H621" s="395"/>
    </row>
    <row r="622">
      <c r="B622" s="48"/>
      <c r="H622" s="395"/>
    </row>
    <row r="623">
      <c r="B623" s="48"/>
      <c r="H623" s="395"/>
    </row>
    <row r="624">
      <c r="B624" s="48"/>
      <c r="H624" s="395"/>
    </row>
    <row r="625">
      <c r="B625" s="48"/>
      <c r="H625" s="395"/>
    </row>
    <row r="626">
      <c r="B626" s="48"/>
      <c r="H626" s="395"/>
    </row>
    <row r="627">
      <c r="B627" s="48"/>
      <c r="H627" s="395"/>
    </row>
    <row r="628">
      <c r="B628" s="48"/>
      <c r="H628" s="395"/>
    </row>
    <row r="629">
      <c r="B629" s="48"/>
      <c r="H629" s="395"/>
    </row>
    <row r="630">
      <c r="B630" s="48"/>
      <c r="H630" s="395"/>
    </row>
    <row r="631">
      <c r="B631" s="48"/>
      <c r="H631" s="395"/>
    </row>
    <row r="632">
      <c r="B632" s="48"/>
      <c r="H632" s="395"/>
    </row>
    <row r="633">
      <c r="B633" s="48"/>
      <c r="H633" s="395"/>
    </row>
    <row r="634">
      <c r="B634" s="48"/>
      <c r="H634" s="395"/>
    </row>
    <row r="635">
      <c r="B635" s="48"/>
      <c r="H635" s="395"/>
    </row>
    <row r="636">
      <c r="B636" s="48"/>
      <c r="H636" s="395"/>
    </row>
    <row r="637">
      <c r="B637" s="48"/>
      <c r="H637" s="395"/>
    </row>
    <row r="638">
      <c r="B638" s="48"/>
      <c r="H638" s="395"/>
    </row>
    <row r="639">
      <c r="B639" s="48"/>
      <c r="H639" s="395"/>
    </row>
    <row r="640">
      <c r="B640" s="48"/>
      <c r="H640" s="395"/>
    </row>
    <row r="641">
      <c r="B641" s="48"/>
      <c r="H641" s="395"/>
    </row>
    <row r="642">
      <c r="B642" s="48"/>
      <c r="H642" s="395"/>
    </row>
    <row r="643">
      <c r="B643" s="48"/>
      <c r="H643" s="395"/>
    </row>
    <row r="644">
      <c r="B644" s="48"/>
      <c r="H644" s="395"/>
    </row>
    <row r="645">
      <c r="B645" s="48"/>
      <c r="H645" s="395"/>
    </row>
    <row r="646">
      <c r="B646" s="48"/>
      <c r="H646" s="395"/>
    </row>
    <row r="647">
      <c r="B647" s="48"/>
      <c r="H647" s="395"/>
    </row>
    <row r="648">
      <c r="B648" s="48"/>
      <c r="H648" s="395"/>
    </row>
    <row r="649">
      <c r="B649" s="48"/>
      <c r="H649" s="395"/>
    </row>
    <row r="650">
      <c r="B650" s="48"/>
      <c r="H650" s="395"/>
    </row>
    <row r="651">
      <c r="B651" s="48"/>
      <c r="H651" s="395"/>
    </row>
    <row r="652">
      <c r="B652" s="48"/>
      <c r="H652" s="395"/>
    </row>
    <row r="653">
      <c r="B653" s="48"/>
      <c r="H653" s="395"/>
    </row>
    <row r="654">
      <c r="B654" s="48"/>
      <c r="H654" s="395"/>
    </row>
    <row r="655">
      <c r="B655" s="48"/>
      <c r="H655" s="395"/>
    </row>
    <row r="656">
      <c r="B656" s="48"/>
      <c r="H656" s="395"/>
    </row>
    <row r="657">
      <c r="B657" s="48"/>
      <c r="H657" s="395"/>
    </row>
    <row r="658">
      <c r="B658" s="48"/>
      <c r="H658" s="395"/>
    </row>
    <row r="659">
      <c r="B659" s="48"/>
      <c r="H659" s="395"/>
    </row>
    <row r="660">
      <c r="B660" s="48"/>
      <c r="H660" s="395"/>
    </row>
    <row r="661">
      <c r="B661" s="48"/>
      <c r="H661" s="395"/>
    </row>
    <row r="662">
      <c r="B662" s="48"/>
      <c r="H662" s="395"/>
    </row>
    <row r="663">
      <c r="B663" s="48"/>
      <c r="H663" s="395"/>
    </row>
    <row r="664">
      <c r="B664" s="48"/>
      <c r="H664" s="395"/>
    </row>
    <row r="665">
      <c r="B665" s="48"/>
      <c r="H665" s="395"/>
    </row>
    <row r="666">
      <c r="B666" s="48"/>
      <c r="H666" s="395"/>
    </row>
    <row r="667">
      <c r="B667" s="48"/>
      <c r="H667" s="395"/>
    </row>
    <row r="668">
      <c r="B668" s="48"/>
      <c r="H668" s="395"/>
    </row>
    <row r="669">
      <c r="B669" s="48"/>
      <c r="H669" s="395"/>
    </row>
    <row r="670">
      <c r="B670" s="48"/>
      <c r="H670" s="395"/>
    </row>
    <row r="671">
      <c r="B671" s="48"/>
      <c r="H671" s="395"/>
    </row>
    <row r="672">
      <c r="B672" s="48"/>
      <c r="H672" s="395"/>
    </row>
    <row r="673">
      <c r="B673" s="48"/>
      <c r="H673" s="395"/>
    </row>
    <row r="674">
      <c r="B674" s="48"/>
      <c r="H674" s="395"/>
    </row>
    <row r="675">
      <c r="B675" s="48"/>
      <c r="H675" s="395"/>
    </row>
    <row r="676">
      <c r="B676" s="48"/>
      <c r="H676" s="395"/>
    </row>
    <row r="677">
      <c r="B677" s="48"/>
      <c r="H677" s="395"/>
    </row>
    <row r="678">
      <c r="B678" s="48"/>
      <c r="H678" s="395"/>
    </row>
    <row r="679">
      <c r="B679" s="48"/>
      <c r="H679" s="395"/>
    </row>
    <row r="680">
      <c r="B680" s="48"/>
      <c r="H680" s="395"/>
    </row>
    <row r="681">
      <c r="B681" s="48"/>
      <c r="H681" s="395"/>
    </row>
    <row r="682">
      <c r="B682" s="48"/>
      <c r="H682" s="395"/>
    </row>
    <row r="683">
      <c r="B683" s="48"/>
      <c r="H683" s="395"/>
    </row>
    <row r="684">
      <c r="B684" s="48"/>
      <c r="H684" s="395"/>
    </row>
    <row r="685">
      <c r="B685" s="48"/>
      <c r="H685" s="395"/>
    </row>
    <row r="686">
      <c r="B686" s="48"/>
      <c r="H686" s="395"/>
    </row>
    <row r="687">
      <c r="B687" s="48"/>
      <c r="H687" s="395"/>
    </row>
    <row r="688">
      <c r="B688" s="48"/>
      <c r="H688" s="395"/>
    </row>
    <row r="689">
      <c r="B689" s="48"/>
      <c r="H689" s="395"/>
    </row>
    <row r="690">
      <c r="B690" s="48"/>
      <c r="H690" s="395"/>
    </row>
    <row r="691">
      <c r="B691" s="48"/>
      <c r="H691" s="395"/>
    </row>
    <row r="692">
      <c r="B692" s="48"/>
      <c r="H692" s="395"/>
    </row>
    <row r="693">
      <c r="B693" s="48"/>
      <c r="H693" s="395"/>
    </row>
    <row r="694">
      <c r="B694" s="48"/>
      <c r="H694" s="395"/>
    </row>
    <row r="695">
      <c r="B695" s="48"/>
      <c r="H695" s="395"/>
    </row>
    <row r="696">
      <c r="B696" s="48"/>
      <c r="H696" s="395"/>
    </row>
    <row r="697">
      <c r="B697" s="48"/>
      <c r="H697" s="395"/>
    </row>
    <row r="698">
      <c r="B698" s="48"/>
      <c r="H698" s="395"/>
    </row>
    <row r="699">
      <c r="B699" s="48"/>
      <c r="H699" s="395"/>
    </row>
    <row r="700">
      <c r="B700" s="48"/>
      <c r="H700" s="395"/>
    </row>
    <row r="701">
      <c r="B701" s="48"/>
      <c r="H701" s="395"/>
    </row>
    <row r="702">
      <c r="B702" s="48"/>
      <c r="H702" s="395"/>
    </row>
    <row r="703">
      <c r="B703" s="48"/>
      <c r="H703" s="395"/>
    </row>
    <row r="704">
      <c r="B704" s="48"/>
      <c r="H704" s="395"/>
    </row>
    <row r="705">
      <c r="B705" s="48"/>
      <c r="H705" s="395"/>
    </row>
    <row r="706">
      <c r="B706" s="48"/>
      <c r="H706" s="395"/>
    </row>
    <row r="707">
      <c r="B707" s="48"/>
      <c r="H707" s="395"/>
    </row>
    <row r="708">
      <c r="B708" s="48"/>
      <c r="H708" s="395"/>
    </row>
    <row r="709">
      <c r="B709" s="48"/>
      <c r="H709" s="395"/>
    </row>
    <row r="710">
      <c r="B710" s="48"/>
      <c r="H710" s="395"/>
    </row>
    <row r="711">
      <c r="B711" s="48"/>
      <c r="H711" s="395"/>
    </row>
    <row r="712">
      <c r="B712" s="48"/>
      <c r="H712" s="395"/>
    </row>
    <row r="713">
      <c r="B713" s="48"/>
      <c r="H713" s="395"/>
    </row>
    <row r="714">
      <c r="B714" s="48"/>
      <c r="H714" s="395"/>
    </row>
    <row r="715">
      <c r="B715" s="48"/>
      <c r="H715" s="395"/>
    </row>
    <row r="716">
      <c r="B716" s="48"/>
      <c r="H716" s="395"/>
    </row>
    <row r="717">
      <c r="B717" s="48"/>
      <c r="H717" s="395"/>
    </row>
    <row r="718">
      <c r="B718" s="48"/>
      <c r="H718" s="395"/>
    </row>
    <row r="719">
      <c r="B719" s="48"/>
      <c r="H719" s="395"/>
    </row>
    <row r="720">
      <c r="B720" s="48"/>
      <c r="H720" s="395"/>
    </row>
    <row r="721">
      <c r="B721" s="48"/>
      <c r="H721" s="395"/>
    </row>
    <row r="722">
      <c r="B722" s="48"/>
      <c r="H722" s="395"/>
    </row>
    <row r="723">
      <c r="B723" s="48"/>
      <c r="H723" s="395"/>
    </row>
    <row r="724">
      <c r="B724" s="48"/>
      <c r="H724" s="395"/>
    </row>
    <row r="725">
      <c r="B725" s="48"/>
      <c r="H725" s="395"/>
    </row>
    <row r="726">
      <c r="B726" s="48"/>
      <c r="H726" s="395"/>
    </row>
    <row r="727">
      <c r="B727" s="48"/>
      <c r="H727" s="395"/>
    </row>
    <row r="728">
      <c r="B728" s="48"/>
      <c r="H728" s="395"/>
    </row>
    <row r="729">
      <c r="B729" s="48"/>
      <c r="H729" s="395"/>
    </row>
    <row r="730">
      <c r="B730" s="48"/>
      <c r="H730" s="395"/>
    </row>
    <row r="731">
      <c r="B731" s="48"/>
      <c r="H731" s="395"/>
    </row>
    <row r="732">
      <c r="B732" s="48"/>
      <c r="H732" s="395"/>
    </row>
    <row r="733">
      <c r="B733" s="48"/>
      <c r="H733" s="395"/>
    </row>
    <row r="734">
      <c r="B734" s="48"/>
      <c r="H734" s="395"/>
    </row>
    <row r="735">
      <c r="B735" s="48"/>
      <c r="H735" s="395"/>
    </row>
    <row r="736">
      <c r="B736" s="48"/>
      <c r="H736" s="395"/>
    </row>
    <row r="737">
      <c r="B737" s="48"/>
      <c r="H737" s="395"/>
    </row>
    <row r="738">
      <c r="B738" s="48"/>
      <c r="H738" s="395"/>
    </row>
    <row r="739">
      <c r="B739" s="48"/>
      <c r="H739" s="395"/>
    </row>
    <row r="740">
      <c r="B740" s="48"/>
      <c r="H740" s="395"/>
    </row>
    <row r="741">
      <c r="B741" s="48"/>
      <c r="H741" s="395"/>
    </row>
    <row r="742">
      <c r="B742" s="48"/>
      <c r="H742" s="395"/>
    </row>
    <row r="743">
      <c r="B743" s="48"/>
      <c r="H743" s="395"/>
    </row>
    <row r="744">
      <c r="B744" s="48"/>
      <c r="H744" s="395"/>
    </row>
    <row r="745">
      <c r="B745" s="48"/>
      <c r="H745" s="395"/>
    </row>
    <row r="746">
      <c r="B746" s="48"/>
      <c r="H746" s="395"/>
    </row>
    <row r="747">
      <c r="B747" s="48"/>
      <c r="H747" s="395"/>
    </row>
    <row r="748">
      <c r="B748" s="48"/>
      <c r="H748" s="395"/>
    </row>
    <row r="749">
      <c r="B749" s="48"/>
      <c r="H749" s="395"/>
    </row>
    <row r="750">
      <c r="B750" s="48"/>
      <c r="H750" s="395"/>
    </row>
    <row r="751">
      <c r="B751" s="48"/>
      <c r="H751" s="395"/>
    </row>
    <row r="752">
      <c r="B752" s="48"/>
      <c r="H752" s="395"/>
    </row>
    <row r="753">
      <c r="B753" s="48"/>
      <c r="H753" s="395"/>
    </row>
    <row r="754">
      <c r="B754" s="48"/>
      <c r="H754" s="395"/>
    </row>
    <row r="755">
      <c r="B755" s="48"/>
      <c r="H755" s="395"/>
    </row>
    <row r="756">
      <c r="B756" s="48"/>
      <c r="H756" s="395"/>
    </row>
    <row r="757">
      <c r="B757" s="48"/>
      <c r="H757" s="395"/>
    </row>
    <row r="758">
      <c r="B758" s="48"/>
      <c r="H758" s="395"/>
    </row>
    <row r="759">
      <c r="B759" s="48"/>
      <c r="H759" s="395"/>
    </row>
    <row r="760">
      <c r="B760" s="48"/>
      <c r="H760" s="395"/>
    </row>
    <row r="761">
      <c r="B761" s="48"/>
      <c r="H761" s="395"/>
    </row>
    <row r="762">
      <c r="B762" s="48"/>
      <c r="H762" s="395"/>
    </row>
    <row r="763">
      <c r="B763" s="48"/>
      <c r="H763" s="395"/>
    </row>
    <row r="764">
      <c r="B764" s="48"/>
      <c r="H764" s="395"/>
    </row>
    <row r="765">
      <c r="B765" s="48"/>
      <c r="H765" s="395"/>
    </row>
    <row r="766">
      <c r="B766" s="48"/>
      <c r="H766" s="395"/>
    </row>
    <row r="767">
      <c r="B767" s="48"/>
      <c r="H767" s="395"/>
    </row>
    <row r="768">
      <c r="B768" s="48"/>
      <c r="H768" s="395"/>
    </row>
    <row r="769">
      <c r="B769" s="48"/>
      <c r="H769" s="395"/>
    </row>
    <row r="770">
      <c r="B770" s="48"/>
      <c r="H770" s="395"/>
    </row>
    <row r="771">
      <c r="B771" s="48"/>
      <c r="H771" s="395"/>
    </row>
    <row r="772">
      <c r="B772" s="48"/>
      <c r="H772" s="395"/>
    </row>
    <row r="773">
      <c r="B773" s="48"/>
      <c r="H773" s="395"/>
    </row>
    <row r="774">
      <c r="B774" s="48"/>
      <c r="H774" s="395"/>
    </row>
    <row r="775">
      <c r="B775" s="48"/>
      <c r="H775" s="395"/>
    </row>
    <row r="776">
      <c r="B776" s="48"/>
      <c r="H776" s="395"/>
    </row>
    <row r="777">
      <c r="B777" s="48"/>
      <c r="H777" s="395"/>
    </row>
    <row r="778">
      <c r="B778" s="48"/>
      <c r="H778" s="395"/>
    </row>
    <row r="779">
      <c r="B779" s="48"/>
      <c r="H779" s="395"/>
    </row>
    <row r="780">
      <c r="B780" s="48"/>
      <c r="H780" s="395"/>
    </row>
    <row r="781">
      <c r="B781" s="48"/>
      <c r="H781" s="395"/>
    </row>
    <row r="782">
      <c r="B782" s="48"/>
      <c r="H782" s="395"/>
    </row>
    <row r="783">
      <c r="B783" s="48"/>
      <c r="H783" s="395"/>
    </row>
    <row r="784">
      <c r="B784" s="48"/>
      <c r="H784" s="395"/>
    </row>
    <row r="785">
      <c r="B785" s="48"/>
      <c r="H785" s="395"/>
    </row>
    <row r="786">
      <c r="B786" s="48"/>
      <c r="H786" s="395"/>
    </row>
    <row r="787">
      <c r="B787" s="48"/>
      <c r="H787" s="395"/>
    </row>
    <row r="788">
      <c r="B788" s="48"/>
      <c r="H788" s="395"/>
    </row>
    <row r="789">
      <c r="B789" s="48"/>
      <c r="H789" s="395"/>
    </row>
    <row r="790">
      <c r="B790" s="48"/>
      <c r="H790" s="395"/>
    </row>
    <row r="791">
      <c r="B791" s="48"/>
      <c r="H791" s="395"/>
    </row>
    <row r="792">
      <c r="B792" s="48"/>
      <c r="H792" s="395"/>
    </row>
    <row r="793">
      <c r="B793" s="48"/>
      <c r="H793" s="395"/>
    </row>
    <row r="794">
      <c r="B794" s="48"/>
      <c r="H794" s="395"/>
    </row>
    <row r="795">
      <c r="B795" s="48"/>
      <c r="H795" s="395"/>
    </row>
    <row r="796">
      <c r="B796" s="48"/>
      <c r="H796" s="395"/>
    </row>
    <row r="797">
      <c r="B797" s="48"/>
      <c r="H797" s="395"/>
    </row>
    <row r="798">
      <c r="B798" s="48"/>
      <c r="H798" s="395"/>
    </row>
    <row r="799">
      <c r="B799" s="48"/>
      <c r="H799" s="395"/>
    </row>
    <row r="800">
      <c r="B800" s="48"/>
      <c r="H800" s="395"/>
    </row>
    <row r="801">
      <c r="B801" s="48"/>
      <c r="H801" s="395"/>
    </row>
    <row r="802">
      <c r="B802" s="48"/>
      <c r="H802" s="395"/>
    </row>
    <row r="803">
      <c r="B803" s="48"/>
      <c r="H803" s="395"/>
    </row>
    <row r="804">
      <c r="B804" s="48"/>
      <c r="H804" s="395"/>
    </row>
    <row r="805">
      <c r="B805" s="48"/>
      <c r="H805" s="395"/>
    </row>
    <row r="806">
      <c r="B806" s="48"/>
      <c r="H806" s="395"/>
    </row>
    <row r="807">
      <c r="B807" s="48"/>
      <c r="H807" s="395"/>
    </row>
    <row r="808">
      <c r="B808" s="48"/>
      <c r="H808" s="395"/>
    </row>
    <row r="809">
      <c r="B809" s="48"/>
      <c r="H809" s="395"/>
    </row>
    <row r="810">
      <c r="B810" s="48"/>
      <c r="H810" s="395"/>
    </row>
    <row r="811">
      <c r="B811" s="48"/>
      <c r="H811" s="395"/>
    </row>
    <row r="812">
      <c r="B812" s="48"/>
      <c r="H812" s="395"/>
    </row>
    <row r="813">
      <c r="B813" s="48"/>
      <c r="H813" s="395"/>
    </row>
    <row r="814">
      <c r="B814" s="48"/>
      <c r="H814" s="395"/>
    </row>
    <row r="815">
      <c r="B815" s="48"/>
      <c r="H815" s="395"/>
    </row>
    <row r="816">
      <c r="B816" s="48"/>
      <c r="H816" s="395"/>
    </row>
    <row r="817">
      <c r="B817" s="48"/>
      <c r="H817" s="395"/>
    </row>
    <row r="818">
      <c r="B818" s="48"/>
      <c r="H818" s="395"/>
    </row>
    <row r="819">
      <c r="B819" s="48"/>
      <c r="H819" s="395"/>
    </row>
    <row r="820">
      <c r="B820" s="48"/>
      <c r="H820" s="395"/>
    </row>
    <row r="821">
      <c r="B821" s="48"/>
      <c r="H821" s="395"/>
    </row>
    <row r="822">
      <c r="B822" s="48"/>
      <c r="H822" s="395"/>
    </row>
    <row r="823">
      <c r="B823" s="48"/>
      <c r="H823" s="395"/>
    </row>
    <row r="824">
      <c r="B824" s="48"/>
      <c r="H824" s="395"/>
    </row>
    <row r="825">
      <c r="B825" s="48"/>
      <c r="H825" s="395"/>
    </row>
    <row r="826">
      <c r="B826" s="48"/>
      <c r="H826" s="395"/>
    </row>
    <row r="827">
      <c r="B827" s="48"/>
      <c r="H827" s="395"/>
    </row>
    <row r="828">
      <c r="B828" s="48"/>
      <c r="H828" s="395"/>
    </row>
    <row r="829">
      <c r="B829" s="48"/>
      <c r="H829" s="395"/>
    </row>
    <row r="830">
      <c r="B830" s="48"/>
      <c r="H830" s="395"/>
    </row>
    <row r="831">
      <c r="B831" s="48"/>
      <c r="H831" s="395"/>
    </row>
    <row r="832">
      <c r="B832" s="48"/>
      <c r="H832" s="395"/>
    </row>
    <row r="833">
      <c r="B833" s="48"/>
      <c r="H833" s="395"/>
    </row>
    <row r="834">
      <c r="B834" s="48"/>
      <c r="H834" s="395"/>
    </row>
    <row r="835">
      <c r="B835" s="48"/>
      <c r="H835" s="395"/>
    </row>
    <row r="836">
      <c r="B836" s="48"/>
      <c r="H836" s="395"/>
    </row>
    <row r="837">
      <c r="B837" s="48"/>
      <c r="H837" s="395"/>
    </row>
    <row r="838">
      <c r="B838" s="48"/>
      <c r="H838" s="395"/>
    </row>
    <row r="839">
      <c r="B839" s="48"/>
      <c r="H839" s="395"/>
    </row>
    <row r="840">
      <c r="B840" s="48"/>
      <c r="H840" s="395"/>
    </row>
    <row r="841">
      <c r="B841" s="48"/>
      <c r="H841" s="395"/>
    </row>
    <row r="842">
      <c r="B842" s="48"/>
      <c r="H842" s="395"/>
    </row>
    <row r="843">
      <c r="B843" s="48"/>
      <c r="H843" s="395"/>
    </row>
    <row r="844">
      <c r="B844" s="48"/>
      <c r="H844" s="395"/>
    </row>
    <row r="845">
      <c r="B845" s="48"/>
      <c r="H845" s="395"/>
    </row>
    <row r="846">
      <c r="B846" s="48"/>
      <c r="H846" s="395"/>
    </row>
    <row r="847">
      <c r="B847" s="48"/>
      <c r="H847" s="395"/>
    </row>
    <row r="848">
      <c r="B848" s="48"/>
      <c r="H848" s="395"/>
    </row>
    <row r="849">
      <c r="B849" s="48"/>
      <c r="H849" s="395"/>
    </row>
    <row r="850">
      <c r="B850" s="48"/>
      <c r="H850" s="395"/>
    </row>
    <row r="851">
      <c r="B851" s="48"/>
      <c r="H851" s="395"/>
    </row>
    <row r="852">
      <c r="B852" s="48"/>
      <c r="H852" s="395"/>
    </row>
    <row r="853">
      <c r="B853" s="48"/>
      <c r="H853" s="395"/>
    </row>
    <row r="854">
      <c r="B854" s="48"/>
      <c r="H854" s="395"/>
    </row>
    <row r="855">
      <c r="B855" s="48"/>
      <c r="H855" s="395"/>
    </row>
    <row r="856">
      <c r="B856" s="48"/>
      <c r="H856" s="395"/>
    </row>
    <row r="857">
      <c r="B857" s="48"/>
      <c r="H857" s="395"/>
    </row>
    <row r="858">
      <c r="B858" s="48"/>
      <c r="H858" s="395"/>
    </row>
    <row r="859">
      <c r="B859" s="48"/>
      <c r="H859" s="395"/>
    </row>
    <row r="860">
      <c r="B860" s="48"/>
      <c r="H860" s="395"/>
    </row>
    <row r="861">
      <c r="B861" s="48"/>
      <c r="H861" s="395"/>
    </row>
    <row r="862">
      <c r="B862" s="48"/>
      <c r="H862" s="395"/>
    </row>
    <row r="863">
      <c r="B863" s="48"/>
      <c r="H863" s="395"/>
    </row>
    <row r="864">
      <c r="B864" s="48"/>
      <c r="H864" s="395"/>
    </row>
    <row r="865">
      <c r="B865" s="48"/>
      <c r="H865" s="395"/>
    </row>
    <row r="866">
      <c r="B866" s="48"/>
      <c r="H866" s="395"/>
    </row>
    <row r="867">
      <c r="B867" s="48"/>
      <c r="H867" s="395"/>
    </row>
    <row r="868">
      <c r="B868" s="48"/>
      <c r="H868" s="395"/>
    </row>
    <row r="869">
      <c r="B869" s="48"/>
      <c r="H869" s="395"/>
    </row>
    <row r="870">
      <c r="B870" s="48"/>
      <c r="H870" s="395"/>
    </row>
    <row r="871">
      <c r="B871" s="48"/>
      <c r="H871" s="395"/>
    </row>
    <row r="872">
      <c r="B872" s="48"/>
      <c r="H872" s="395"/>
    </row>
    <row r="873">
      <c r="B873" s="48"/>
      <c r="H873" s="395"/>
    </row>
    <row r="874">
      <c r="B874" s="48"/>
      <c r="H874" s="395"/>
    </row>
    <row r="875">
      <c r="B875" s="48"/>
      <c r="H875" s="395"/>
    </row>
    <row r="876">
      <c r="B876" s="48"/>
      <c r="H876" s="395"/>
    </row>
    <row r="877">
      <c r="B877" s="48"/>
      <c r="H877" s="395"/>
    </row>
    <row r="878">
      <c r="B878" s="48"/>
      <c r="H878" s="395"/>
    </row>
    <row r="879">
      <c r="B879" s="48"/>
      <c r="H879" s="395"/>
    </row>
    <row r="880">
      <c r="B880" s="48"/>
      <c r="H880" s="395"/>
    </row>
    <row r="881">
      <c r="B881" s="48"/>
      <c r="H881" s="395"/>
    </row>
    <row r="882">
      <c r="B882" s="48"/>
      <c r="H882" s="395"/>
    </row>
    <row r="883">
      <c r="B883" s="48"/>
      <c r="H883" s="395"/>
    </row>
    <row r="884">
      <c r="B884" s="48"/>
      <c r="H884" s="395"/>
    </row>
    <row r="885">
      <c r="B885" s="48"/>
      <c r="H885" s="395"/>
    </row>
    <row r="886">
      <c r="B886" s="48"/>
      <c r="H886" s="395"/>
    </row>
    <row r="887">
      <c r="B887" s="48"/>
      <c r="H887" s="395"/>
    </row>
    <row r="888">
      <c r="B888" s="48"/>
      <c r="H888" s="395"/>
    </row>
    <row r="889">
      <c r="B889" s="48"/>
      <c r="H889" s="395"/>
    </row>
    <row r="890">
      <c r="B890" s="48"/>
      <c r="H890" s="395"/>
    </row>
    <row r="891">
      <c r="B891" s="48"/>
      <c r="H891" s="395"/>
    </row>
    <row r="892">
      <c r="B892" s="48"/>
      <c r="H892" s="395"/>
    </row>
    <row r="893">
      <c r="B893" s="48"/>
      <c r="H893" s="395"/>
    </row>
    <row r="894">
      <c r="B894" s="48"/>
      <c r="H894" s="395"/>
    </row>
    <row r="895">
      <c r="B895" s="48"/>
      <c r="H895" s="395"/>
    </row>
    <row r="896">
      <c r="B896" s="48"/>
      <c r="H896" s="395"/>
    </row>
    <row r="897">
      <c r="B897" s="48"/>
      <c r="H897" s="395"/>
    </row>
    <row r="898">
      <c r="B898" s="48"/>
      <c r="H898" s="395"/>
    </row>
    <row r="899">
      <c r="B899" s="48"/>
      <c r="H899" s="395"/>
    </row>
    <row r="900">
      <c r="B900" s="48"/>
      <c r="H900" s="395"/>
    </row>
    <row r="901">
      <c r="B901" s="48"/>
      <c r="H901" s="395"/>
    </row>
    <row r="902">
      <c r="B902" s="48"/>
      <c r="H902" s="395"/>
    </row>
    <row r="903">
      <c r="B903" s="48"/>
      <c r="H903" s="395"/>
    </row>
    <row r="904">
      <c r="B904" s="48"/>
      <c r="H904" s="395"/>
    </row>
    <row r="905">
      <c r="B905" s="48"/>
      <c r="H905" s="395"/>
    </row>
    <row r="906">
      <c r="B906" s="48"/>
      <c r="H906" s="395"/>
    </row>
    <row r="907">
      <c r="B907" s="48"/>
      <c r="H907" s="395"/>
    </row>
    <row r="908">
      <c r="B908" s="48"/>
      <c r="H908" s="395"/>
    </row>
    <row r="909">
      <c r="B909" s="48"/>
      <c r="H909" s="395"/>
    </row>
    <row r="910">
      <c r="B910" s="48"/>
      <c r="H910" s="395"/>
    </row>
    <row r="911">
      <c r="B911" s="48"/>
      <c r="H911" s="395"/>
    </row>
    <row r="912">
      <c r="B912" s="48"/>
      <c r="H912" s="395"/>
    </row>
    <row r="913">
      <c r="B913" s="48"/>
      <c r="H913" s="395"/>
    </row>
    <row r="914">
      <c r="B914" s="48"/>
      <c r="H914" s="395"/>
    </row>
    <row r="915">
      <c r="B915" s="48"/>
      <c r="H915" s="395"/>
    </row>
    <row r="916">
      <c r="B916" s="48"/>
      <c r="H916" s="395"/>
    </row>
    <row r="917">
      <c r="B917" s="48"/>
      <c r="H917" s="395"/>
    </row>
    <row r="918">
      <c r="B918" s="48"/>
      <c r="H918" s="395"/>
    </row>
    <row r="919">
      <c r="B919" s="48"/>
      <c r="H919" s="395"/>
    </row>
    <row r="920">
      <c r="B920" s="48"/>
      <c r="H920" s="395"/>
    </row>
    <row r="921">
      <c r="B921" s="48"/>
      <c r="H921" s="395"/>
    </row>
    <row r="922">
      <c r="B922" s="48"/>
      <c r="H922" s="395"/>
    </row>
    <row r="923">
      <c r="B923" s="48"/>
      <c r="H923" s="395"/>
    </row>
    <row r="924">
      <c r="B924" s="48"/>
      <c r="H924" s="395"/>
    </row>
    <row r="925">
      <c r="B925" s="48"/>
      <c r="H925" s="395"/>
    </row>
    <row r="926">
      <c r="B926" s="48"/>
      <c r="H926" s="395"/>
    </row>
    <row r="927">
      <c r="B927" s="48"/>
      <c r="H927" s="395"/>
    </row>
    <row r="928">
      <c r="B928" s="48"/>
      <c r="H928" s="395"/>
    </row>
    <row r="929">
      <c r="B929" s="48"/>
      <c r="H929" s="395"/>
    </row>
    <row r="930">
      <c r="B930" s="48"/>
      <c r="H930" s="395"/>
    </row>
    <row r="931">
      <c r="B931" s="48"/>
      <c r="H931" s="395"/>
    </row>
    <row r="932">
      <c r="B932" s="48"/>
      <c r="H932" s="395"/>
    </row>
    <row r="933">
      <c r="B933" s="48"/>
      <c r="H933" s="395"/>
    </row>
    <row r="934">
      <c r="B934" s="48"/>
      <c r="H934" s="395"/>
    </row>
    <row r="935">
      <c r="B935" s="48"/>
      <c r="H935" s="395"/>
    </row>
    <row r="936">
      <c r="B936" s="48"/>
      <c r="H936" s="395"/>
    </row>
    <row r="937">
      <c r="B937" s="48"/>
      <c r="H937" s="395"/>
    </row>
    <row r="938">
      <c r="B938" s="48"/>
      <c r="H938" s="395"/>
    </row>
    <row r="939">
      <c r="B939" s="48"/>
      <c r="H939" s="395"/>
    </row>
    <row r="940">
      <c r="B940" s="48"/>
      <c r="H940" s="395"/>
    </row>
    <row r="941">
      <c r="B941" s="48"/>
      <c r="H941" s="395"/>
    </row>
    <row r="942">
      <c r="B942" s="48"/>
      <c r="H942" s="395"/>
    </row>
    <row r="943">
      <c r="B943" s="48"/>
      <c r="H943" s="395"/>
    </row>
    <row r="944">
      <c r="B944" s="48"/>
      <c r="H944" s="395"/>
    </row>
    <row r="945">
      <c r="B945" s="48"/>
      <c r="H945" s="395"/>
    </row>
    <row r="946">
      <c r="B946" s="48"/>
      <c r="H946" s="395"/>
    </row>
    <row r="947">
      <c r="B947" s="48"/>
      <c r="H947" s="395"/>
    </row>
    <row r="948">
      <c r="B948" s="48"/>
      <c r="H948" s="395"/>
    </row>
    <row r="949">
      <c r="B949" s="48"/>
      <c r="H949" s="395"/>
    </row>
    <row r="950">
      <c r="B950" s="48"/>
      <c r="H950" s="395"/>
    </row>
    <row r="951">
      <c r="B951" s="48"/>
      <c r="H951" s="395"/>
    </row>
    <row r="952">
      <c r="B952" s="48"/>
      <c r="H952" s="395"/>
    </row>
    <row r="953">
      <c r="B953" s="48"/>
      <c r="H953" s="395"/>
    </row>
    <row r="954">
      <c r="B954" s="48"/>
      <c r="H954" s="395"/>
    </row>
    <row r="955">
      <c r="B955" s="48"/>
      <c r="H955" s="395"/>
    </row>
    <row r="956">
      <c r="B956" s="48"/>
      <c r="H956" s="395"/>
    </row>
    <row r="957">
      <c r="B957" s="48"/>
      <c r="H957" s="395"/>
    </row>
    <row r="958">
      <c r="B958" s="48"/>
      <c r="H958" s="395"/>
    </row>
    <row r="959">
      <c r="B959" s="48"/>
      <c r="H959" s="395"/>
    </row>
    <row r="960">
      <c r="B960" s="48"/>
      <c r="H960" s="395"/>
    </row>
    <row r="961">
      <c r="B961" s="48"/>
      <c r="H961" s="395"/>
    </row>
    <row r="962">
      <c r="B962" s="48"/>
      <c r="H962" s="395"/>
    </row>
    <row r="963">
      <c r="B963" s="48"/>
      <c r="H963" s="395"/>
    </row>
    <row r="964">
      <c r="B964" s="48"/>
      <c r="H964" s="395"/>
    </row>
    <row r="965">
      <c r="B965" s="48"/>
      <c r="H965" s="395"/>
    </row>
    <row r="966">
      <c r="B966" s="48"/>
      <c r="H966" s="395"/>
    </row>
    <row r="967">
      <c r="B967" s="48"/>
      <c r="H967" s="395"/>
    </row>
    <row r="968">
      <c r="B968" s="48"/>
      <c r="H968" s="395"/>
    </row>
    <row r="969">
      <c r="B969" s="48"/>
      <c r="H969" s="395"/>
    </row>
    <row r="970">
      <c r="B970" s="48"/>
      <c r="H970" s="395"/>
    </row>
    <row r="971">
      <c r="B971" s="48"/>
      <c r="H971" s="395"/>
    </row>
    <row r="972">
      <c r="B972" s="48"/>
      <c r="H972" s="395"/>
    </row>
    <row r="973">
      <c r="B973" s="48"/>
      <c r="H973" s="395"/>
    </row>
    <row r="974">
      <c r="B974" s="48"/>
      <c r="H974" s="395"/>
    </row>
    <row r="975">
      <c r="B975" s="48"/>
      <c r="H975" s="395"/>
    </row>
    <row r="976">
      <c r="B976" s="48"/>
      <c r="H976" s="395"/>
    </row>
    <row r="977">
      <c r="B977" s="48"/>
      <c r="H977" s="395"/>
    </row>
    <row r="978">
      <c r="B978" s="48"/>
      <c r="H978" s="395"/>
    </row>
    <row r="979">
      <c r="B979" s="48"/>
      <c r="H979" s="395"/>
    </row>
    <row r="980">
      <c r="B980" s="48"/>
      <c r="H980" s="395"/>
    </row>
    <row r="981">
      <c r="B981" s="48"/>
      <c r="H981" s="395"/>
    </row>
    <row r="982">
      <c r="B982" s="48"/>
      <c r="H982" s="395"/>
    </row>
    <row r="983">
      <c r="B983" s="48"/>
      <c r="H983" s="395"/>
    </row>
    <row r="984">
      <c r="B984" s="48"/>
      <c r="H984" s="395"/>
    </row>
    <row r="985">
      <c r="B985" s="48"/>
      <c r="H985" s="395"/>
    </row>
    <row r="986">
      <c r="B986" s="48"/>
      <c r="H986" s="395"/>
    </row>
    <row r="987">
      <c r="B987" s="48"/>
      <c r="H987" s="395"/>
    </row>
    <row r="988">
      <c r="B988" s="48"/>
      <c r="H988" s="395"/>
    </row>
    <row r="989">
      <c r="B989" s="48"/>
      <c r="H989" s="395"/>
    </row>
    <row r="990">
      <c r="B990" s="48"/>
      <c r="H990" s="395"/>
    </row>
    <row r="991">
      <c r="B991" s="48"/>
      <c r="H991" s="395"/>
    </row>
    <row r="992">
      <c r="B992" s="48"/>
      <c r="H992" s="395"/>
    </row>
    <row r="993">
      <c r="B993" s="48"/>
      <c r="H993" s="395"/>
    </row>
    <row r="994">
      <c r="B994" s="48"/>
      <c r="H994" s="395"/>
    </row>
    <row r="995">
      <c r="B995" s="48"/>
      <c r="H995" s="395"/>
    </row>
    <row r="996">
      <c r="B996" s="48"/>
      <c r="H996" s="395"/>
    </row>
    <row r="997">
      <c r="B997" s="48"/>
      <c r="H997" s="395"/>
    </row>
    <row r="998">
      <c r="B998" s="48"/>
      <c r="H998" s="395"/>
    </row>
    <row r="999">
      <c r="B999" s="48"/>
      <c r="H999" s="395"/>
    </row>
    <row r="1000">
      <c r="B1000" s="48"/>
      <c r="H1000" s="395"/>
    </row>
    <row r="1001">
      <c r="B1001" s="48"/>
      <c r="H1001" s="395"/>
    </row>
    <row r="1002">
      <c r="B1002" s="48"/>
      <c r="H1002" s="395"/>
    </row>
    <row r="1003">
      <c r="B1003" s="48"/>
      <c r="H1003" s="395"/>
    </row>
    <row r="1004">
      <c r="B1004" s="48"/>
      <c r="H1004" s="395"/>
    </row>
    <row r="1005">
      <c r="B1005" s="48"/>
      <c r="H1005" s="395"/>
    </row>
    <row r="1006">
      <c r="B1006" s="48"/>
      <c r="H1006" s="395"/>
    </row>
    <row r="1007">
      <c r="B1007" s="48"/>
      <c r="H1007" s="395"/>
    </row>
    <row r="1008">
      <c r="B1008" s="48"/>
      <c r="H1008" s="395"/>
    </row>
    <row r="1009">
      <c r="B1009" s="48"/>
      <c r="H1009" s="395"/>
    </row>
    <row r="1010">
      <c r="B1010" s="48"/>
      <c r="H1010" s="395"/>
    </row>
    <row r="1011">
      <c r="B1011" s="48"/>
      <c r="H1011" s="395"/>
    </row>
    <row r="1012">
      <c r="B1012" s="48"/>
      <c r="H1012" s="395"/>
    </row>
    <row r="1013">
      <c r="B1013" s="48"/>
      <c r="H1013" s="395"/>
    </row>
    <row r="1014">
      <c r="B1014" s="48"/>
      <c r="H1014" s="395"/>
    </row>
    <row r="1015">
      <c r="B1015" s="48"/>
      <c r="H1015" s="395"/>
    </row>
    <row r="1016">
      <c r="B1016" s="48"/>
      <c r="H1016" s="395"/>
    </row>
    <row r="1017">
      <c r="B1017" s="48"/>
      <c r="H1017" s="395"/>
    </row>
    <row r="1018">
      <c r="B1018" s="48"/>
      <c r="H1018" s="395"/>
    </row>
    <row r="1019">
      <c r="B1019" s="48"/>
      <c r="H1019" s="395"/>
    </row>
    <row r="1020">
      <c r="B1020" s="48"/>
      <c r="H1020" s="395"/>
    </row>
    <row r="1021">
      <c r="B1021" s="48"/>
      <c r="H1021" s="395"/>
    </row>
    <row r="1022">
      <c r="B1022" s="48"/>
      <c r="H1022" s="395"/>
    </row>
    <row r="1023">
      <c r="B1023" s="48"/>
      <c r="H1023" s="395"/>
    </row>
    <row r="1024">
      <c r="B1024" s="48"/>
      <c r="H1024" s="395"/>
    </row>
    <row r="1025">
      <c r="B1025" s="48"/>
      <c r="H1025" s="395"/>
    </row>
    <row r="1026">
      <c r="B1026" s="48"/>
      <c r="H1026" s="395"/>
    </row>
    <row r="1027">
      <c r="B1027" s="48"/>
      <c r="H1027" s="395"/>
    </row>
    <row r="1028">
      <c r="B1028" s="48"/>
      <c r="H1028" s="395"/>
    </row>
    <row r="1029">
      <c r="B1029" s="48"/>
      <c r="H1029" s="395"/>
    </row>
    <row r="1030">
      <c r="B1030" s="48"/>
      <c r="H1030" s="395"/>
    </row>
    <row r="1031">
      <c r="B1031" s="48"/>
      <c r="H1031" s="395"/>
    </row>
    <row r="1032">
      <c r="B1032" s="48"/>
      <c r="H1032" s="395"/>
    </row>
    <row r="1033">
      <c r="B1033" s="48"/>
      <c r="H1033" s="395"/>
    </row>
    <row r="1034">
      <c r="B1034" s="48"/>
      <c r="H1034" s="395"/>
    </row>
    <row r="1035">
      <c r="B1035" s="48"/>
      <c r="H1035" s="395"/>
    </row>
    <row r="1036">
      <c r="B1036" s="48"/>
      <c r="H1036" s="395"/>
    </row>
    <row r="1037">
      <c r="B1037" s="48"/>
      <c r="H1037" s="395"/>
    </row>
    <row r="1038">
      <c r="B1038" s="48"/>
      <c r="H1038" s="395"/>
    </row>
    <row r="1039">
      <c r="B1039" s="48"/>
      <c r="H1039" s="395"/>
    </row>
    <row r="1040">
      <c r="B1040" s="48"/>
      <c r="H1040" s="395"/>
    </row>
    <row r="1041">
      <c r="B1041" s="48"/>
      <c r="H1041" s="395"/>
    </row>
    <row r="1042">
      <c r="B1042" s="48"/>
      <c r="H1042" s="395"/>
    </row>
    <row r="1043">
      <c r="B1043" s="48"/>
      <c r="H1043" s="395"/>
    </row>
    <row r="1044">
      <c r="B1044" s="48"/>
      <c r="H1044" s="395"/>
    </row>
    <row r="1045">
      <c r="B1045" s="48"/>
      <c r="H1045" s="395"/>
    </row>
    <row r="1046">
      <c r="B1046" s="48"/>
      <c r="H1046" s="395"/>
    </row>
    <row r="1047">
      <c r="B1047" s="48"/>
      <c r="H1047" s="395"/>
    </row>
    <row r="1048">
      <c r="B1048" s="48"/>
      <c r="H1048" s="395"/>
    </row>
    <row r="1049">
      <c r="B1049" s="48"/>
      <c r="H1049" s="395"/>
    </row>
    <row r="1050">
      <c r="B1050" s="48"/>
      <c r="H1050" s="395"/>
    </row>
    <row r="1051">
      <c r="B1051" s="48"/>
      <c r="H1051" s="395"/>
    </row>
    <row r="1052">
      <c r="B1052" s="48"/>
      <c r="H1052" s="395"/>
    </row>
    <row r="1053">
      <c r="B1053" s="48"/>
      <c r="H1053" s="395"/>
    </row>
    <row r="1054">
      <c r="B1054" s="48"/>
      <c r="H1054" s="395"/>
    </row>
    <row r="1055">
      <c r="B1055" s="48"/>
      <c r="H1055" s="395"/>
    </row>
    <row r="1056">
      <c r="B1056" s="48"/>
      <c r="H1056" s="395"/>
    </row>
    <row r="1057">
      <c r="B1057" s="48"/>
      <c r="H1057" s="395"/>
    </row>
    <row r="1058">
      <c r="B1058" s="48"/>
      <c r="H1058" s="395"/>
    </row>
    <row r="1059">
      <c r="B1059" s="48"/>
      <c r="H1059" s="395"/>
    </row>
    <row r="1060">
      <c r="B1060" s="48"/>
      <c r="H1060" s="395"/>
    </row>
    <row r="1061">
      <c r="B1061" s="48"/>
      <c r="H1061" s="395"/>
    </row>
    <row r="1062">
      <c r="B1062" s="48"/>
      <c r="H1062" s="395"/>
    </row>
    <row r="1063">
      <c r="B1063" s="48"/>
      <c r="H1063" s="395"/>
    </row>
    <row r="1064">
      <c r="B1064" s="48"/>
      <c r="H1064" s="395"/>
    </row>
    <row r="1065">
      <c r="B1065" s="48"/>
      <c r="H1065" s="395"/>
    </row>
    <row r="1066">
      <c r="B1066" s="48"/>
      <c r="H1066" s="395"/>
    </row>
    <row r="1067">
      <c r="B1067" s="48"/>
      <c r="H1067" s="395"/>
    </row>
    <row r="1068">
      <c r="B1068" s="48"/>
      <c r="H1068" s="395"/>
    </row>
    <row r="1069">
      <c r="B1069" s="48"/>
      <c r="H1069" s="395"/>
    </row>
    <row r="1070">
      <c r="B1070" s="48"/>
      <c r="H1070" s="395"/>
    </row>
    <row r="1071">
      <c r="B1071" s="48"/>
      <c r="H1071" s="395"/>
    </row>
    <row r="1072">
      <c r="B1072" s="48"/>
      <c r="H1072" s="395"/>
    </row>
    <row r="1073">
      <c r="B1073" s="48"/>
      <c r="H1073" s="395"/>
    </row>
    <row r="1074">
      <c r="B1074" s="48"/>
      <c r="H1074" s="395"/>
    </row>
    <row r="1075">
      <c r="B1075" s="48"/>
      <c r="H1075" s="395"/>
    </row>
    <row r="1076">
      <c r="B1076" s="48"/>
      <c r="H1076" s="395"/>
    </row>
    <row r="1077">
      <c r="B1077" s="48"/>
      <c r="H1077" s="395"/>
    </row>
    <row r="1078">
      <c r="B1078" s="48"/>
      <c r="H1078" s="395"/>
    </row>
    <row r="1079">
      <c r="B1079" s="48"/>
      <c r="H1079" s="395"/>
    </row>
    <row r="1080">
      <c r="B1080" s="48"/>
      <c r="H1080" s="395"/>
    </row>
    <row r="1081">
      <c r="B1081" s="48"/>
      <c r="H1081" s="395"/>
    </row>
    <row r="1082">
      <c r="B1082" s="48"/>
      <c r="H1082" s="395"/>
    </row>
    <row r="1083">
      <c r="B1083" s="48"/>
      <c r="H1083" s="395"/>
    </row>
    <row r="1084">
      <c r="B1084" s="48"/>
      <c r="H1084" s="395"/>
    </row>
    <row r="1085">
      <c r="B1085" s="48"/>
      <c r="H1085" s="395"/>
    </row>
    <row r="1086">
      <c r="B1086" s="48"/>
      <c r="H1086" s="395"/>
    </row>
    <row r="1087">
      <c r="B1087" s="48"/>
      <c r="H1087" s="395"/>
    </row>
    <row r="1088">
      <c r="B1088" s="48"/>
      <c r="H1088" s="395"/>
    </row>
    <row r="1089">
      <c r="B1089" s="48"/>
      <c r="H1089" s="395"/>
    </row>
    <row r="1090">
      <c r="B1090" s="48"/>
      <c r="H1090" s="395"/>
    </row>
    <row r="1091">
      <c r="B1091" s="48"/>
      <c r="H1091" s="395"/>
    </row>
    <row r="1092">
      <c r="B1092" s="48"/>
      <c r="H1092" s="395"/>
    </row>
    <row r="1093">
      <c r="B1093" s="48"/>
      <c r="H1093" s="395"/>
    </row>
    <row r="1094">
      <c r="B1094" s="48"/>
      <c r="H1094" s="395"/>
    </row>
    <row r="1095">
      <c r="B1095" s="48"/>
      <c r="H1095" s="395"/>
    </row>
    <row r="1096">
      <c r="B1096" s="48"/>
      <c r="H1096" s="395"/>
    </row>
    <row r="1097">
      <c r="B1097" s="48"/>
      <c r="H1097" s="395"/>
    </row>
    <row r="1098">
      <c r="B1098" s="48"/>
      <c r="H1098" s="395"/>
    </row>
    <row r="1099">
      <c r="B1099" s="48"/>
      <c r="H1099" s="395"/>
    </row>
    <row r="1100">
      <c r="B1100" s="48"/>
      <c r="H1100" s="395"/>
    </row>
    <row r="1101">
      <c r="B1101" s="48"/>
      <c r="H1101" s="395"/>
    </row>
    <row r="1102">
      <c r="B1102" s="48"/>
      <c r="H1102" s="395"/>
    </row>
    <row r="1103">
      <c r="B1103" s="48"/>
      <c r="H1103" s="395"/>
    </row>
    <row r="1104">
      <c r="B1104" s="48"/>
      <c r="H1104" s="395"/>
    </row>
    <row r="1105">
      <c r="B1105" s="48"/>
      <c r="H1105" s="395"/>
    </row>
    <row r="1106">
      <c r="B1106" s="48"/>
      <c r="H1106" s="395"/>
    </row>
    <row r="1107">
      <c r="B1107" s="48"/>
      <c r="H1107" s="395"/>
    </row>
    <row r="1108">
      <c r="B1108" s="48"/>
      <c r="H1108" s="395"/>
    </row>
    <row r="1109">
      <c r="B1109" s="48"/>
      <c r="H1109" s="395"/>
    </row>
    <row r="1110">
      <c r="B1110" s="48"/>
      <c r="H1110" s="395"/>
    </row>
    <row r="1111">
      <c r="B1111" s="48"/>
      <c r="H1111" s="395"/>
    </row>
    <row r="1112">
      <c r="B1112" s="48"/>
      <c r="H1112" s="395"/>
    </row>
    <row r="1113">
      <c r="B1113" s="48"/>
      <c r="H1113" s="395"/>
    </row>
    <row r="1114">
      <c r="B1114" s="48"/>
      <c r="H1114" s="395"/>
    </row>
    <row r="1115">
      <c r="B1115" s="48"/>
      <c r="H1115" s="395"/>
    </row>
    <row r="1116">
      <c r="B1116" s="48"/>
      <c r="H1116" s="395"/>
    </row>
    <row r="1117">
      <c r="B1117" s="48"/>
      <c r="H1117" s="395"/>
    </row>
    <row r="1118">
      <c r="B1118" s="48"/>
      <c r="H1118" s="395"/>
    </row>
    <row r="1119">
      <c r="B1119" s="48"/>
      <c r="H1119" s="395"/>
    </row>
    <row r="1120">
      <c r="B1120" s="48"/>
      <c r="H1120" s="395"/>
    </row>
    <row r="1121">
      <c r="B1121" s="48"/>
      <c r="H1121" s="395"/>
    </row>
    <row r="1122">
      <c r="B1122" s="48"/>
      <c r="H1122" s="395"/>
    </row>
    <row r="1123">
      <c r="B1123" s="48"/>
      <c r="H1123" s="395"/>
    </row>
    <row r="1124">
      <c r="B1124" s="48"/>
      <c r="H1124" s="395"/>
    </row>
    <row r="1125">
      <c r="B1125" s="48"/>
      <c r="H1125" s="395"/>
    </row>
    <row r="1126">
      <c r="B1126" s="48"/>
      <c r="H1126" s="395"/>
    </row>
    <row r="1127">
      <c r="B1127" s="48"/>
      <c r="H1127" s="395"/>
    </row>
    <row r="1128">
      <c r="B1128" s="48"/>
      <c r="H1128" s="395"/>
    </row>
    <row r="1129">
      <c r="B1129" s="48"/>
      <c r="H1129" s="395"/>
    </row>
    <row r="1130">
      <c r="B1130" s="48"/>
      <c r="H1130" s="395"/>
    </row>
    <row r="1131">
      <c r="B1131" s="48"/>
      <c r="H1131" s="395"/>
    </row>
    <row r="1132">
      <c r="B1132" s="48"/>
      <c r="H1132" s="395"/>
    </row>
    <row r="1133">
      <c r="B1133" s="48"/>
      <c r="H1133" s="395"/>
    </row>
    <row r="1134">
      <c r="B1134" s="48"/>
      <c r="H1134" s="395"/>
    </row>
    <row r="1135">
      <c r="B1135" s="48"/>
      <c r="H1135" s="395"/>
    </row>
    <row r="1136">
      <c r="B1136" s="48"/>
      <c r="H1136" s="395"/>
    </row>
    <row r="1137">
      <c r="B1137" s="48"/>
      <c r="H1137" s="395"/>
    </row>
    <row r="1138">
      <c r="B1138" s="48"/>
      <c r="H1138" s="395"/>
    </row>
    <row r="1139">
      <c r="B1139" s="48"/>
      <c r="H1139" s="395"/>
    </row>
    <row r="1140">
      <c r="B1140" s="48"/>
      <c r="H1140" s="395"/>
    </row>
    <row r="1141">
      <c r="B1141" s="48"/>
      <c r="H1141" s="395"/>
    </row>
    <row r="1142">
      <c r="B1142" s="48"/>
      <c r="H1142" s="395"/>
    </row>
    <row r="1143">
      <c r="B1143" s="48"/>
      <c r="H1143" s="395"/>
    </row>
    <row r="1144">
      <c r="B1144" s="48"/>
      <c r="H1144" s="395"/>
    </row>
    <row r="1145">
      <c r="B1145" s="48"/>
      <c r="H1145" s="395"/>
    </row>
    <row r="1146">
      <c r="B1146" s="48"/>
      <c r="H1146" s="395"/>
    </row>
    <row r="1147">
      <c r="B1147" s="48"/>
      <c r="H1147" s="395"/>
    </row>
    <row r="1148">
      <c r="B1148" s="48"/>
      <c r="H1148" s="395"/>
    </row>
    <row r="1149">
      <c r="B1149" s="48"/>
      <c r="H1149" s="395"/>
    </row>
    <row r="1150">
      <c r="B1150" s="48"/>
      <c r="H1150" s="395"/>
    </row>
    <row r="1151">
      <c r="B1151" s="48"/>
      <c r="H1151" s="395"/>
    </row>
    <row r="1152">
      <c r="B1152" s="48"/>
      <c r="H1152" s="395"/>
    </row>
    <row r="1153">
      <c r="B1153" s="48"/>
      <c r="H1153" s="395"/>
    </row>
    <row r="1154">
      <c r="B1154" s="48"/>
      <c r="H1154" s="395"/>
    </row>
    <row r="1155">
      <c r="B1155" s="48"/>
      <c r="H1155" s="395"/>
    </row>
    <row r="1156">
      <c r="B1156" s="48"/>
      <c r="H1156" s="395"/>
    </row>
    <row r="1157">
      <c r="B1157" s="48"/>
      <c r="H1157" s="395"/>
    </row>
    <row r="1158">
      <c r="B1158" s="48"/>
      <c r="H1158" s="395"/>
    </row>
    <row r="1159">
      <c r="B1159" s="48"/>
      <c r="H1159" s="395"/>
    </row>
    <row r="1160">
      <c r="B1160" s="48"/>
      <c r="H1160" s="395"/>
    </row>
    <row r="1161">
      <c r="B1161" s="48"/>
      <c r="H1161" s="395"/>
    </row>
    <row r="1162">
      <c r="B1162" s="48"/>
      <c r="H1162" s="395"/>
    </row>
    <row r="1163">
      <c r="B1163" s="48"/>
      <c r="H1163" s="395"/>
    </row>
    <row r="1164">
      <c r="B1164" s="48"/>
      <c r="H1164" s="395"/>
    </row>
    <row r="1165">
      <c r="B1165" s="48"/>
      <c r="H1165" s="395"/>
    </row>
    <row r="1166">
      <c r="B1166" s="48"/>
      <c r="H1166" s="395"/>
    </row>
    <row r="1167">
      <c r="B1167" s="48"/>
      <c r="H1167" s="395"/>
    </row>
    <row r="1168">
      <c r="B1168" s="48"/>
      <c r="H1168" s="395"/>
    </row>
    <row r="1169">
      <c r="B1169" s="48"/>
      <c r="H1169" s="395"/>
    </row>
    <row r="1170">
      <c r="B1170" s="48"/>
      <c r="H1170" s="395"/>
    </row>
    <row r="1171">
      <c r="B1171" s="48"/>
      <c r="H1171" s="395"/>
    </row>
    <row r="1172">
      <c r="B1172" s="48"/>
      <c r="H1172" s="395"/>
    </row>
    <row r="1173">
      <c r="B1173" s="48"/>
      <c r="H1173" s="395"/>
    </row>
    <row r="1174">
      <c r="B1174" s="48"/>
      <c r="H1174" s="395"/>
    </row>
    <row r="1175">
      <c r="B1175" s="48"/>
      <c r="H1175" s="395"/>
    </row>
    <row r="1176">
      <c r="B1176" s="48"/>
      <c r="H1176" s="395"/>
    </row>
    <row r="1177">
      <c r="B1177" s="48"/>
      <c r="H1177" s="395"/>
    </row>
    <row r="1178">
      <c r="B1178" s="48"/>
      <c r="H1178" s="395"/>
    </row>
    <row r="1179">
      <c r="B1179" s="48"/>
      <c r="H1179" s="395"/>
    </row>
    <row r="1180">
      <c r="B1180" s="48"/>
      <c r="H1180" s="395"/>
    </row>
    <row r="1181">
      <c r="B1181" s="48"/>
      <c r="H1181" s="395"/>
    </row>
    <row r="1182">
      <c r="B1182" s="48"/>
      <c r="H1182" s="395"/>
    </row>
    <row r="1183">
      <c r="B1183" s="48"/>
      <c r="H1183" s="395"/>
    </row>
    <row r="1184">
      <c r="B1184" s="48"/>
      <c r="H1184" s="395"/>
    </row>
    <row r="1185">
      <c r="B1185" s="48"/>
      <c r="H1185" s="395"/>
    </row>
    <row r="1186">
      <c r="B1186" s="48"/>
      <c r="H1186" s="395"/>
    </row>
    <row r="1187">
      <c r="B1187" s="48"/>
      <c r="H1187" s="395"/>
    </row>
    <row r="1188">
      <c r="B1188" s="48"/>
      <c r="H1188" s="395"/>
    </row>
    <row r="1189">
      <c r="B1189" s="48"/>
      <c r="H1189" s="395"/>
    </row>
    <row r="1190">
      <c r="B1190" s="48"/>
      <c r="H1190" s="395"/>
    </row>
    <row r="1191">
      <c r="B1191" s="48"/>
      <c r="H1191" s="395"/>
    </row>
    <row r="1192">
      <c r="B1192" s="48"/>
      <c r="H1192" s="395"/>
    </row>
    <row r="1193">
      <c r="B1193" s="48"/>
      <c r="H1193" s="395"/>
    </row>
    <row r="1194">
      <c r="B1194" s="48"/>
      <c r="H1194" s="395"/>
    </row>
    <row r="1195">
      <c r="B1195" s="48"/>
      <c r="H1195" s="395"/>
    </row>
    <row r="1196">
      <c r="B1196" s="48"/>
      <c r="H1196" s="395"/>
    </row>
    <row r="1197">
      <c r="B1197" s="48"/>
      <c r="H1197" s="395"/>
    </row>
    <row r="1198">
      <c r="B1198" s="48"/>
      <c r="H1198" s="395"/>
    </row>
    <row r="1199">
      <c r="B1199" s="48"/>
      <c r="H1199" s="395"/>
    </row>
    <row r="1200">
      <c r="B1200" s="48"/>
      <c r="H1200" s="395"/>
    </row>
    <row r="1201">
      <c r="B1201" s="48"/>
      <c r="H1201" s="395"/>
    </row>
    <row r="1202">
      <c r="B1202" s="48"/>
      <c r="H1202" s="395"/>
    </row>
    <row r="1203">
      <c r="B1203" s="48"/>
      <c r="H1203" s="395"/>
    </row>
    <row r="1204">
      <c r="B1204" s="48"/>
      <c r="H1204" s="395"/>
    </row>
    <row r="1205">
      <c r="B1205" s="48"/>
      <c r="H1205" s="395"/>
    </row>
    <row r="1206">
      <c r="B1206" s="48"/>
      <c r="H1206" s="395"/>
    </row>
    <row r="1207">
      <c r="B1207" s="48"/>
      <c r="H1207" s="395"/>
    </row>
    <row r="1208">
      <c r="B1208" s="48"/>
      <c r="H1208" s="395"/>
    </row>
    <row r="1209">
      <c r="B1209" s="48"/>
      <c r="H1209" s="395"/>
    </row>
    <row r="1210">
      <c r="B1210" s="48"/>
      <c r="H1210" s="395"/>
    </row>
    <row r="1211">
      <c r="B1211" s="48"/>
      <c r="H1211" s="395"/>
    </row>
    <row r="1212">
      <c r="B1212" s="48"/>
      <c r="H1212" s="395"/>
    </row>
    <row r="1213">
      <c r="B1213" s="48"/>
      <c r="H1213" s="395"/>
    </row>
  </sheetData>
  <mergeCells count="8">
    <mergeCell ref="A1:H1"/>
    <mergeCell ref="A2:H2"/>
    <mergeCell ref="A3:H3"/>
    <mergeCell ref="D6:E6"/>
    <mergeCell ref="D349:E349"/>
    <mergeCell ref="D354:E354"/>
    <mergeCell ref="D355:E355"/>
    <mergeCell ref="D356:E356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pageSetUpPr/>
  </sheetPr>
  <sheetViews>
    <sheetView workbookViewId="0"/>
  </sheetViews>
  <sheetFormatPr customHeight="1" defaultColWidth="12.63" defaultRowHeight="15.75"/>
  <cols>
    <col customWidth="1" min="1" max="1" width="47.38"/>
    <col customWidth="1" min="2" max="4" width="12.88"/>
    <col customWidth="1" min="5" max="26" width="7.63"/>
  </cols>
  <sheetData>
    <row r="1">
      <c r="A1" s="62" t="s">
        <v>134</v>
      </c>
    </row>
    <row r="2">
      <c r="A2" s="62" t="s">
        <v>135</v>
      </c>
    </row>
    <row r="3">
      <c r="A3" s="63" t="s">
        <v>927</v>
      </c>
    </row>
    <row r="5">
      <c r="A5" s="65"/>
      <c r="B5" s="306" t="s">
        <v>256</v>
      </c>
      <c r="C5" s="306" t="s">
        <v>257</v>
      </c>
      <c r="D5" s="306" t="s">
        <v>137</v>
      </c>
    </row>
    <row r="6">
      <c r="A6" s="67" t="s">
        <v>138</v>
      </c>
      <c r="B6" s="69"/>
      <c r="C6" s="69"/>
      <c r="D6" s="69"/>
    </row>
    <row r="7">
      <c r="A7" s="67" t="s">
        <v>261</v>
      </c>
      <c r="B7" s="69"/>
      <c r="C7" s="69"/>
      <c r="D7" s="70">
        <f t="shared" ref="D7:D25" si="1">(B7)+(C7)</f>
        <v>0</v>
      </c>
    </row>
    <row r="8">
      <c r="A8" s="67" t="s">
        <v>262</v>
      </c>
      <c r="B8" s="70">
        <f>30377.61</f>
        <v>30377.61</v>
      </c>
      <c r="C8" s="69"/>
      <c r="D8" s="70">
        <f t="shared" si="1"/>
        <v>30377.61</v>
      </c>
    </row>
    <row r="9">
      <c r="A9" s="67" t="s">
        <v>263</v>
      </c>
      <c r="B9" s="70">
        <f>0.19</f>
        <v>0.19</v>
      </c>
      <c r="C9" s="69"/>
      <c r="D9" s="70">
        <f t="shared" si="1"/>
        <v>0.19</v>
      </c>
    </row>
    <row r="10">
      <c r="A10" s="67" t="s">
        <v>264</v>
      </c>
      <c r="B10" s="70">
        <f>185</f>
        <v>185</v>
      </c>
      <c r="C10" s="69"/>
      <c r="D10" s="70">
        <f t="shared" si="1"/>
        <v>185</v>
      </c>
    </row>
    <row r="11">
      <c r="A11" s="67" t="s">
        <v>267</v>
      </c>
      <c r="B11" s="70">
        <f>505</f>
        <v>505</v>
      </c>
      <c r="C11" s="69"/>
      <c r="D11" s="70">
        <f t="shared" si="1"/>
        <v>505</v>
      </c>
    </row>
    <row r="12">
      <c r="A12" s="67" t="s">
        <v>269</v>
      </c>
      <c r="B12" s="70">
        <f>100202</f>
        <v>100202</v>
      </c>
      <c r="C12" s="69"/>
      <c r="D12" s="70">
        <f t="shared" si="1"/>
        <v>100202</v>
      </c>
    </row>
    <row r="13">
      <c r="A13" s="67" t="s">
        <v>928</v>
      </c>
      <c r="B13" s="69"/>
      <c r="C13" s="70">
        <f>85666.45</f>
        <v>85666.45</v>
      </c>
      <c r="D13" s="70">
        <f t="shared" si="1"/>
        <v>85666.45</v>
      </c>
    </row>
    <row r="14">
      <c r="A14" s="67" t="s">
        <v>271</v>
      </c>
      <c r="B14" s="74">
        <f t="shared" ref="B14:C14" si="2">((((((B7)+(B8))+(B9))+(B10))+(B11))+(B12))+(B13)</f>
        <v>131269.8</v>
      </c>
      <c r="C14" s="74">
        <f t="shared" si="2"/>
        <v>85666.45</v>
      </c>
      <c r="D14" s="74">
        <f t="shared" si="1"/>
        <v>216936.25</v>
      </c>
    </row>
    <row r="15">
      <c r="A15" s="67" t="s">
        <v>272</v>
      </c>
      <c r="B15" s="69"/>
      <c r="C15" s="69"/>
      <c r="D15" s="70">
        <f t="shared" si="1"/>
        <v>0</v>
      </c>
    </row>
    <row r="16">
      <c r="A16" s="67" t="s">
        <v>273</v>
      </c>
      <c r="B16" s="70">
        <f>305895</f>
        <v>305895</v>
      </c>
      <c r="C16" s="69"/>
      <c r="D16" s="70">
        <f t="shared" si="1"/>
        <v>305895</v>
      </c>
    </row>
    <row r="17">
      <c r="A17" s="67" t="s">
        <v>274</v>
      </c>
      <c r="B17" s="70">
        <f>9035.71</f>
        <v>9035.71</v>
      </c>
      <c r="C17" s="69"/>
      <c r="D17" s="70">
        <f t="shared" si="1"/>
        <v>9035.71</v>
      </c>
    </row>
    <row r="18">
      <c r="A18" s="67" t="s">
        <v>276</v>
      </c>
      <c r="B18" s="74">
        <f t="shared" ref="B18:C18" si="3">((B15)+(B16))+(B17)</f>
        <v>314930.71</v>
      </c>
      <c r="C18" s="74">
        <f t="shared" si="3"/>
        <v>0</v>
      </c>
      <c r="D18" s="74">
        <f t="shared" si="1"/>
        <v>314930.71</v>
      </c>
    </row>
    <row r="19">
      <c r="A19" s="67" t="s">
        <v>277</v>
      </c>
      <c r="B19" s="69"/>
      <c r="C19" s="69"/>
      <c r="D19" s="70">
        <f t="shared" si="1"/>
        <v>0</v>
      </c>
    </row>
    <row r="20">
      <c r="A20" s="67" t="s">
        <v>929</v>
      </c>
      <c r="B20" s="70">
        <f>18684.09</f>
        <v>18684.09</v>
      </c>
      <c r="C20" s="69"/>
      <c r="D20" s="70">
        <f t="shared" si="1"/>
        <v>18684.09</v>
      </c>
    </row>
    <row r="21">
      <c r="A21" s="67" t="s">
        <v>284</v>
      </c>
      <c r="B21" s="70">
        <f>3725.96</f>
        <v>3725.96</v>
      </c>
      <c r="C21" s="69"/>
      <c r="D21" s="70">
        <f t="shared" si="1"/>
        <v>3725.96</v>
      </c>
    </row>
    <row r="22">
      <c r="A22" s="67" t="s">
        <v>288</v>
      </c>
      <c r="B22" s="70">
        <f>6104.46</f>
        <v>6104.46</v>
      </c>
      <c r="C22" s="69"/>
      <c r="D22" s="70">
        <f t="shared" si="1"/>
        <v>6104.46</v>
      </c>
    </row>
    <row r="23">
      <c r="A23" s="67" t="s">
        <v>290</v>
      </c>
      <c r="B23" s="74">
        <f t="shared" ref="B23:C23" si="4">(((B19)+(B20))+(B21))+(B22)</f>
        <v>28514.51</v>
      </c>
      <c r="C23" s="74">
        <f t="shared" si="4"/>
        <v>0</v>
      </c>
      <c r="D23" s="74">
        <f t="shared" si="1"/>
        <v>28514.51</v>
      </c>
    </row>
    <row r="24">
      <c r="A24" s="67" t="s">
        <v>169</v>
      </c>
      <c r="B24" s="74">
        <f t="shared" ref="B24:C24" si="5">((B14)+(B18))+(B23)</f>
        <v>474715.02</v>
      </c>
      <c r="C24" s="74">
        <f t="shared" si="5"/>
        <v>85666.45</v>
      </c>
      <c r="D24" s="74">
        <f t="shared" si="1"/>
        <v>560381.47</v>
      </c>
    </row>
    <row r="25">
      <c r="A25" s="67" t="s">
        <v>170</v>
      </c>
      <c r="B25" s="74">
        <f t="shared" ref="B25:C25" si="6">(B24)-(0)</f>
        <v>474715.02</v>
      </c>
      <c r="C25" s="74">
        <f t="shared" si="6"/>
        <v>85666.45</v>
      </c>
      <c r="D25" s="74">
        <f t="shared" si="1"/>
        <v>560381.47</v>
      </c>
    </row>
    <row r="26">
      <c r="A26" s="67" t="s">
        <v>171</v>
      </c>
      <c r="B26" s="69"/>
      <c r="C26" s="69"/>
      <c r="D26" s="69"/>
    </row>
    <row r="27">
      <c r="A27" s="67" t="s">
        <v>294</v>
      </c>
      <c r="B27" s="69"/>
      <c r="C27" s="69"/>
      <c r="D27" s="70">
        <f t="shared" ref="D27:D78" si="7">(B27)+(C27)</f>
        <v>0</v>
      </c>
    </row>
    <row r="28">
      <c r="A28" s="67" t="s">
        <v>930</v>
      </c>
      <c r="B28" s="69"/>
      <c r="C28" s="70">
        <f>70715.41</f>
        <v>70715.41</v>
      </c>
      <c r="D28" s="70">
        <f t="shared" si="7"/>
        <v>70715.41</v>
      </c>
    </row>
    <row r="29">
      <c r="A29" s="67" t="s">
        <v>321</v>
      </c>
      <c r="B29" s="74">
        <f t="shared" ref="B29:C29" si="8">(B27)+(B28)</f>
        <v>0</v>
      </c>
      <c r="C29" s="74">
        <f t="shared" si="8"/>
        <v>70715.41</v>
      </c>
      <c r="D29" s="74">
        <f t="shared" si="7"/>
        <v>70715.41</v>
      </c>
    </row>
    <row r="30">
      <c r="A30" s="67" t="s">
        <v>322</v>
      </c>
      <c r="B30" s="69"/>
      <c r="C30" s="69"/>
      <c r="D30" s="70">
        <f t="shared" si="7"/>
        <v>0</v>
      </c>
    </row>
    <row r="31">
      <c r="A31" s="67" t="s">
        <v>931</v>
      </c>
      <c r="B31" s="69"/>
      <c r="C31" s="70">
        <f>9900.13</f>
        <v>9900.13</v>
      </c>
      <c r="D31" s="70">
        <f t="shared" si="7"/>
        <v>9900.13</v>
      </c>
    </row>
    <row r="32">
      <c r="A32" s="67" t="s">
        <v>932</v>
      </c>
      <c r="B32" s="69"/>
      <c r="C32" s="70">
        <f>4276.93</f>
        <v>4276.93</v>
      </c>
      <c r="D32" s="70">
        <f t="shared" si="7"/>
        <v>4276.93</v>
      </c>
    </row>
    <row r="33">
      <c r="A33" s="67" t="s">
        <v>933</v>
      </c>
      <c r="B33" s="69"/>
      <c r="C33" s="70">
        <f>1000.24</f>
        <v>1000.24</v>
      </c>
      <c r="D33" s="70">
        <f t="shared" si="7"/>
        <v>1000.24</v>
      </c>
    </row>
    <row r="34">
      <c r="A34" s="67" t="s">
        <v>934</v>
      </c>
      <c r="B34" s="69"/>
      <c r="C34" s="70">
        <f>-226.26</f>
        <v>-226.26</v>
      </c>
      <c r="D34" s="70">
        <f t="shared" si="7"/>
        <v>-226.26</v>
      </c>
    </row>
    <row r="35">
      <c r="A35" s="67" t="s">
        <v>327</v>
      </c>
      <c r="B35" s="74">
        <f t="shared" ref="B35:C35" si="9">((((B30)+(B31))+(B32))+(B33))+(B34)</f>
        <v>0</v>
      </c>
      <c r="C35" s="74">
        <f t="shared" si="9"/>
        <v>14951.04</v>
      </c>
      <c r="D35" s="74">
        <f t="shared" si="7"/>
        <v>14951.04</v>
      </c>
    </row>
    <row r="36">
      <c r="A36" s="67" t="s">
        <v>935</v>
      </c>
      <c r="B36" s="70">
        <f>85666.45</f>
        <v>85666.45</v>
      </c>
      <c r="C36" s="69"/>
      <c r="D36" s="70">
        <f t="shared" si="7"/>
        <v>85666.45</v>
      </c>
    </row>
    <row r="37">
      <c r="A37" s="67" t="s">
        <v>328</v>
      </c>
      <c r="B37" s="69"/>
      <c r="C37" s="69"/>
      <c r="D37" s="70">
        <f t="shared" si="7"/>
        <v>0</v>
      </c>
    </row>
    <row r="38">
      <c r="A38" s="67" t="s">
        <v>329</v>
      </c>
      <c r="B38" s="70">
        <f>2136.3</f>
        <v>2136.3</v>
      </c>
      <c r="C38" s="69"/>
      <c r="D38" s="70">
        <f t="shared" si="7"/>
        <v>2136.3</v>
      </c>
    </row>
    <row r="39">
      <c r="A39" s="67" t="s">
        <v>337</v>
      </c>
      <c r="B39" s="74">
        <f t="shared" ref="B39:C39" si="10">(B37)+(B38)</f>
        <v>2136.3</v>
      </c>
      <c r="C39" s="74">
        <f t="shared" si="10"/>
        <v>0</v>
      </c>
      <c r="D39" s="74">
        <f t="shared" si="7"/>
        <v>2136.3</v>
      </c>
    </row>
    <row r="40">
      <c r="A40" s="67" t="s">
        <v>338</v>
      </c>
      <c r="B40" s="69"/>
      <c r="C40" s="69"/>
      <c r="D40" s="70">
        <f t="shared" si="7"/>
        <v>0</v>
      </c>
    </row>
    <row r="41">
      <c r="A41" s="67" t="s">
        <v>339</v>
      </c>
      <c r="B41" s="70">
        <f>68677.22</f>
        <v>68677.22</v>
      </c>
      <c r="C41" s="69"/>
      <c r="D41" s="70">
        <f t="shared" si="7"/>
        <v>68677.22</v>
      </c>
    </row>
    <row r="42">
      <c r="A42" s="67" t="s">
        <v>340</v>
      </c>
      <c r="B42" s="74">
        <f t="shared" ref="B42:C42" si="11">(B40)+(B41)</f>
        <v>68677.22</v>
      </c>
      <c r="C42" s="74">
        <f t="shared" si="11"/>
        <v>0</v>
      </c>
      <c r="D42" s="74">
        <f t="shared" si="7"/>
        <v>68677.22</v>
      </c>
    </row>
    <row r="43">
      <c r="A43" s="67" t="s">
        <v>936</v>
      </c>
      <c r="B43" s="69"/>
      <c r="C43" s="69"/>
      <c r="D43" s="70">
        <f t="shared" si="7"/>
        <v>0</v>
      </c>
    </row>
    <row r="44">
      <c r="A44" s="67" t="s">
        <v>346</v>
      </c>
      <c r="B44" s="70">
        <f>283.45</f>
        <v>283.45</v>
      </c>
      <c r="C44" s="69"/>
      <c r="D44" s="70">
        <f t="shared" si="7"/>
        <v>283.45</v>
      </c>
    </row>
    <row r="45">
      <c r="A45" s="67" t="s">
        <v>352</v>
      </c>
      <c r="B45" s="74">
        <f t="shared" ref="B45:C45" si="12">(B43)+(B44)</f>
        <v>283.45</v>
      </c>
      <c r="C45" s="74">
        <f t="shared" si="12"/>
        <v>0</v>
      </c>
      <c r="D45" s="74">
        <f t="shared" si="7"/>
        <v>283.45</v>
      </c>
    </row>
    <row r="46">
      <c r="A46" s="67" t="s">
        <v>353</v>
      </c>
      <c r="B46" s="69"/>
      <c r="C46" s="69"/>
      <c r="D46" s="70">
        <f t="shared" si="7"/>
        <v>0</v>
      </c>
    </row>
    <row r="47">
      <c r="A47" s="67" t="s">
        <v>937</v>
      </c>
      <c r="B47" s="70">
        <f>49066.67</f>
        <v>49066.67</v>
      </c>
      <c r="C47" s="69"/>
      <c r="D47" s="70">
        <f t="shared" si="7"/>
        <v>49066.67</v>
      </c>
    </row>
    <row r="48">
      <c r="A48" s="67" t="s">
        <v>359</v>
      </c>
      <c r="B48" s="70">
        <f>276.29</f>
        <v>276.29</v>
      </c>
      <c r="C48" s="69"/>
      <c r="D48" s="70">
        <f t="shared" si="7"/>
        <v>276.29</v>
      </c>
    </row>
    <row r="49">
      <c r="A49" s="67" t="s">
        <v>360</v>
      </c>
      <c r="B49" s="70">
        <f>454.88</f>
        <v>454.88</v>
      </c>
      <c r="C49" s="69"/>
      <c r="D49" s="70">
        <f t="shared" si="7"/>
        <v>454.88</v>
      </c>
    </row>
    <row r="50">
      <c r="A50" s="67" t="s">
        <v>370</v>
      </c>
      <c r="B50" s="70">
        <f>21301.41</f>
        <v>21301.41</v>
      </c>
      <c r="C50" s="69"/>
      <c r="D50" s="70">
        <f t="shared" si="7"/>
        <v>21301.41</v>
      </c>
    </row>
    <row r="51">
      <c r="A51" s="67" t="s">
        <v>371</v>
      </c>
      <c r="B51" s="70">
        <f>94.6</f>
        <v>94.6</v>
      </c>
      <c r="C51" s="69"/>
      <c r="D51" s="70">
        <f t="shared" si="7"/>
        <v>94.6</v>
      </c>
    </row>
    <row r="52">
      <c r="A52" s="67" t="s">
        <v>938</v>
      </c>
      <c r="B52" s="70">
        <f>2089.37</f>
        <v>2089.37</v>
      </c>
      <c r="C52" s="69"/>
      <c r="D52" s="70">
        <f t="shared" si="7"/>
        <v>2089.37</v>
      </c>
    </row>
    <row r="53">
      <c r="A53" s="67" t="s">
        <v>939</v>
      </c>
      <c r="B53" s="70">
        <f>189.13</f>
        <v>189.13</v>
      </c>
      <c r="C53" s="69"/>
      <c r="D53" s="70">
        <f t="shared" si="7"/>
        <v>189.13</v>
      </c>
    </row>
    <row r="54">
      <c r="A54" s="67" t="s">
        <v>376</v>
      </c>
      <c r="B54" s="70">
        <f>2209.75</f>
        <v>2209.75</v>
      </c>
      <c r="C54" s="69"/>
      <c r="D54" s="70">
        <f t="shared" si="7"/>
        <v>2209.75</v>
      </c>
    </row>
    <row r="55">
      <c r="A55" s="67" t="s">
        <v>377</v>
      </c>
      <c r="B55" s="70">
        <f>3300</f>
        <v>3300</v>
      </c>
      <c r="C55" s="69"/>
      <c r="D55" s="70">
        <f t="shared" si="7"/>
        <v>3300</v>
      </c>
    </row>
    <row r="56">
      <c r="A56" s="67" t="s">
        <v>378</v>
      </c>
      <c r="B56" s="70">
        <f>1001</f>
        <v>1001</v>
      </c>
      <c r="C56" s="69"/>
      <c r="D56" s="70">
        <f t="shared" si="7"/>
        <v>1001</v>
      </c>
    </row>
    <row r="57">
      <c r="A57" s="67" t="s">
        <v>379</v>
      </c>
      <c r="B57" s="70">
        <f>9411.78</f>
        <v>9411.78</v>
      </c>
      <c r="C57" s="69"/>
      <c r="D57" s="70">
        <f t="shared" si="7"/>
        <v>9411.78</v>
      </c>
    </row>
    <row r="58">
      <c r="A58" s="67" t="s">
        <v>940</v>
      </c>
      <c r="B58" s="70">
        <f>21759.97</f>
        <v>21759.97</v>
      </c>
      <c r="C58" s="69"/>
      <c r="D58" s="70">
        <f t="shared" si="7"/>
        <v>21759.97</v>
      </c>
    </row>
    <row r="59">
      <c r="A59" s="67" t="s">
        <v>384</v>
      </c>
      <c r="B59" s="74">
        <f t="shared" ref="B59:C59" si="13">((((((((((((B46)+(B47))+(B48))+(B49))+(B50))+(B51))+(B52))+(B53))+(B54))+(B55))+(B56))+(B57))+(B58)</f>
        <v>111154.85</v>
      </c>
      <c r="C59" s="74">
        <f t="shared" si="13"/>
        <v>0</v>
      </c>
      <c r="D59" s="74">
        <f t="shared" si="7"/>
        <v>111154.85</v>
      </c>
    </row>
    <row r="60">
      <c r="A60" s="67" t="s">
        <v>385</v>
      </c>
      <c r="B60" s="69"/>
      <c r="C60" s="69"/>
      <c r="D60" s="70">
        <f t="shared" si="7"/>
        <v>0</v>
      </c>
    </row>
    <row r="61">
      <c r="A61" s="67" t="s">
        <v>387</v>
      </c>
      <c r="B61" s="70">
        <f>231.96</f>
        <v>231.96</v>
      </c>
      <c r="C61" s="69"/>
      <c r="D61" s="70">
        <f t="shared" si="7"/>
        <v>231.96</v>
      </c>
    </row>
    <row r="62">
      <c r="A62" s="67" t="s">
        <v>390</v>
      </c>
      <c r="B62" s="70">
        <f>21</f>
        <v>21</v>
      </c>
      <c r="C62" s="69"/>
      <c r="D62" s="70">
        <f t="shared" si="7"/>
        <v>21</v>
      </c>
    </row>
    <row r="63">
      <c r="A63" s="67" t="s">
        <v>941</v>
      </c>
      <c r="B63" s="70">
        <f>-104.75</f>
        <v>-104.75</v>
      </c>
      <c r="C63" s="69"/>
      <c r="D63" s="70">
        <f t="shared" si="7"/>
        <v>-104.75</v>
      </c>
    </row>
    <row r="64">
      <c r="A64" s="67" t="s">
        <v>394</v>
      </c>
      <c r="B64" s="70">
        <f>17173.95</f>
        <v>17173.95</v>
      </c>
      <c r="C64" s="69"/>
      <c r="D64" s="70">
        <f t="shared" si="7"/>
        <v>17173.95</v>
      </c>
    </row>
    <row r="65">
      <c r="A65" s="67" t="s">
        <v>396</v>
      </c>
      <c r="B65" s="74">
        <f t="shared" ref="B65:C65" si="14">((((B60)+(B61))+(B62))+(B63))+(B64)</f>
        <v>17322.16</v>
      </c>
      <c r="C65" s="74">
        <f t="shared" si="14"/>
        <v>0</v>
      </c>
      <c r="D65" s="74">
        <f t="shared" si="7"/>
        <v>17322.16</v>
      </c>
    </row>
    <row r="66">
      <c r="A66" s="67" t="s">
        <v>397</v>
      </c>
      <c r="B66" s="69"/>
      <c r="C66" s="69"/>
      <c r="D66" s="70">
        <f t="shared" si="7"/>
        <v>0</v>
      </c>
    </row>
    <row r="67">
      <c r="A67" s="67" t="s">
        <v>401</v>
      </c>
      <c r="B67" s="70">
        <f>5353</f>
        <v>5353</v>
      </c>
      <c r="C67" s="69"/>
      <c r="D67" s="70">
        <f t="shared" si="7"/>
        <v>5353</v>
      </c>
    </row>
    <row r="68">
      <c r="A68" s="67" t="s">
        <v>403</v>
      </c>
      <c r="B68" s="70">
        <f>44475.01</f>
        <v>44475.01</v>
      </c>
      <c r="C68" s="69"/>
      <c r="D68" s="70">
        <f t="shared" si="7"/>
        <v>44475.01</v>
      </c>
    </row>
    <row r="69">
      <c r="A69" s="67" t="s">
        <v>408</v>
      </c>
      <c r="B69" s="70">
        <f>57.28</f>
        <v>57.28</v>
      </c>
      <c r="C69" s="69"/>
      <c r="D69" s="70">
        <f t="shared" si="7"/>
        <v>57.28</v>
      </c>
    </row>
    <row r="70">
      <c r="A70" s="67" t="s">
        <v>942</v>
      </c>
      <c r="B70" s="70">
        <f>3535.36</f>
        <v>3535.36</v>
      </c>
      <c r="C70" s="69"/>
      <c r="D70" s="70">
        <f t="shared" si="7"/>
        <v>3535.36</v>
      </c>
    </row>
    <row r="71">
      <c r="A71" s="67" t="s">
        <v>417</v>
      </c>
      <c r="B71" s="70">
        <f>47.2</f>
        <v>47.2</v>
      </c>
      <c r="C71" s="69"/>
      <c r="D71" s="70">
        <f t="shared" si="7"/>
        <v>47.2</v>
      </c>
    </row>
    <row r="72">
      <c r="A72" s="67" t="s">
        <v>943</v>
      </c>
      <c r="B72" s="70">
        <f>232.59</f>
        <v>232.59</v>
      </c>
      <c r="C72" s="69"/>
      <c r="D72" s="70">
        <f t="shared" si="7"/>
        <v>232.59</v>
      </c>
    </row>
    <row r="73">
      <c r="A73" s="67" t="s">
        <v>944</v>
      </c>
      <c r="B73" s="70">
        <f>5940.35</f>
        <v>5940.35</v>
      </c>
      <c r="C73" s="69"/>
      <c r="D73" s="70">
        <f t="shared" si="7"/>
        <v>5940.35</v>
      </c>
    </row>
    <row r="74">
      <c r="A74" s="67" t="s">
        <v>435</v>
      </c>
      <c r="B74" s="74">
        <f t="shared" ref="B74:C74" si="15">(((((((B66)+(B67))+(B68))+(B69))+(B70))+(B71))+(B72))+(B73)</f>
        <v>59640.79</v>
      </c>
      <c r="C74" s="74">
        <f t="shared" si="15"/>
        <v>0</v>
      </c>
      <c r="D74" s="74">
        <f t="shared" si="7"/>
        <v>59640.79</v>
      </c>
    </row>
    <row r="75">
      <c r="A75" s="67" t="s">
        <v>442</v>
      </c>
      <c r="B75" s="70">
        <f>1.24</f>
        <v>1.24</v>
      </c>
      <c r="C75" s="69"/>
      <c r="D75" s="70">
        <f t="shared" si="7"/>
        <v>1.24</v>
      </c>
    </row>
    <row r="76">
      <c r="A76" s="67" t="s">
        <v>246</v>
      </c>
      <c r="B76" s="74">
        <f t="shared" ref="B76:C76" si="16">(((((((((B29)+(B35))+(B36))+(B39))+(B42))+(B45))+(B59))+(B65))+(B74))+(B75)</f>
        <v>344882.46</v>
      </c>
      <c r="C76" s="74">
        <f t="shared" si="16"/>
        <v>85666.45</v>
      </c>
      <c r="D76" s="74">
        <f t="shared" si="7"/>
        <v>430548.91</v>
      </c>
    </row>
    <row r="77">
      <c r="A77" s="67" t="s">
        <v>247</v>
      </c>
      <c r="B77" s="74">
        <f t="shared" ref="B77:C77" si="17">(B25)-(B76)</f>
        <v>129832.56</v>
      </c>
      <c r="C77" s="74">
        <f t="shared" si="17"/>
        <v>0</v>
      </c>
      <c r="D77" s="74">
        <f t="shared" si="7"/>
        <v>129832.56</v>
      </c>
      <c r="G77" s="527"/>
    </row>
    <row r="78">
      <c r="A78" s="67" t="s">
        <v>248</v>
      </c>
      <c r="B78" s="74">
        <f t="shared" ref="B78:C78" si="18">(B77)+(0)</f>
        <v>129832.56</v>
      </c>
      <c r="C78" s="74">
        <f t="shared" si="18"/>
        <v>0</v>
      </c>
      <c r="D78" s="74">
        <f t="shared" si="7"/>
        <v>129832.56</v>
      </c>
      <c r="G78" s="527"/>
    </row>
    <row r="79">
      <c r="A79" s="67"/>
      <c r="B79" s="69"/>
      <c r="C79" s="69"/>
      <c r="D79" s="69"/>
    </row>
    <row r="80"/>
    <row r="81"/>
    <row r="82">
      <c r="A82" s="75" t="s">
        <v>945</v>
      </c>
    </row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:D1"/>
    <mergeCell ref="A2:D2"/>
    <mergeCell ref="A3:D3"/>
    <mergeCell ref="A82:D82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7" t="s">
        <v>946</v>
      </c>
      <c r="B1" s="48"/>
    </row>
    <row r="2">
      <c r="A2" s="41" t="s">
        <v>947</v>
      </c>
      <c r="B2" s="528">
        <v>44621.0</v>
      </c>
    </row>
    <row r="3">
      <c r="A3" s="41" t="s">
        <v>948</v>
      </c>
      <c r="B3" s="528">
        <v>44651.0</v>
      </c>
    </row>
    <row r="4">
      <c r="B4" s="48"/>
    </row>
    <row r="5">
      <c r="B5" s="48"/>
    </row>
    <row r="6">
      <c r="B6" s="48"/>
    </row>
    <row r="7">
      <c r="B7" s="48"/>
    </row>
    <row r="8">
      <c r="B8" s="48"/>
    </row>
    <row r="9">
      <c r="B9" s="48"/>
    </row>
    <row r="10">
      <c r="B10" s="48"/>
    </row>
    <row r="11">
      <c r="B11" s="48"/>
    </row>
    <row r="12">
      <c r="B12" s="48"/>
    </row>
    <row r="13">
      <c r="B13" s="48"/>
    </row>
    <row r="14">
      <c r="B14" s="48"/>
    </row>
    <row r="15">
      <c r="B15" s="48"/>
    </row>
    <row r="16">
      <c r="B16" s="48"/>
    </row>
    <row r="17">
      <c r="B17" s="48"/>
    </row>
    <row r="18">
      <c r="B18" s="48"/>
    </row>
    <row r="19">
      <c r="B19" s="48"/>
    </row>
    <row r="20">
      <c r="B20" s="48"/>
    </row>
    <row r="21">
      <c r="B21" s="48"/>
    </row>
    <row r="22">
      <c r="B22" s="48"/>
    </row>
    <row r="23">
      <c r="B23" s="48"/>
    </row>
    <row r="24">
      <c r="B24" s="48"/>
    </row>
    <row r="25">
      <c r="B25" s="48"/>
    </row>
    <row r="26">
      <c r="B26" s="48"/>
    </row>
    <row r="27">
      <c r="B27" s="48"/>
    </row>
    <row r="28">
      <c r="B28" s="48"/>
    </row>
    <row r="29">
      <c r="B29" s="48"/>
    </row>
    <row r="30">
      <c r="B30" s="48"/>
    </row>
    <row r="31">
      <c r="B31" s="48"/>
    </row>
    <row r="32">
      <c r="B32" s="48"/>
    </row>
    <row r="33">
      <c r="B33" s="48"/>
    </row>
    <row r="34">
      <c r="B34" s="48"/>
    </row>
    <row r="35">
      <c r="B35" s="48"/>
    </row>
    <row r="36">
      <c r="B36" s="48"/>
    </row>
    <row r="37">
      <c r="B37" s="48"/>
    </row>
    <row r="38">
      <c r="B38" s="48"/>
    </row>
    <row r="39">
      <c r="B39" s="48"/>
    </row>
    <row r="40">
      <c r="B40" s="48"/>
    </row>
    <row r="41">
      <c r="B41" s="48"/>
    </row>
    <row r="42">
      <c r="B42" s="48"/>
    </row>
    <row r="43">
      <c r="B43" s="48"/>
    </row>
    <row r="44">
      <c r="B44" s="48"/>
    </row>
    <row r="45">
      <c r="B45" s="48"/>
    </row>
    <row r="46">
      <c r="B46" s="48"/>
    </row>
    <row r="47">
      <c r="B47" s="48"/>
    </row>
    <row r="48">
      <c r="B48" s="48"/>
    </row>
    <row r="49">
      <c r="B49" s="48"/>
    </row>
    <row r="50">
      <c r="B50" s="48"/>
    </row>
    <row r="51">
      <c r="B51" s="48"/>
    </row>
    <row r="52">
      <c r="B52" s="48"/>
    </row>
    <row r="53">
      <c r="B53" s="48"/>
    </row>
    <row r="54">
      <c r="B54" s="48"/>
    </row>
    <row r="55">
      <c r="B55" s="48"/>
    </row>
    <row r="56">
      <c r="B56" s="48"/>
    </row>
    <row r="57">
      <c r="B57" s="48"/>
    </row>
    <row r="58">
      <c r="B58" s="48"/>
    </row>
    <row r="59">
      <c r="B59" s="48"/>
    </row>
    <row r="60">
      <c r="B60" s="48"/>
    </row>
    <row r="61">
      <c r="B61" s="48"/>
    </row>
    <row r="62">
      <c r="B62" s="48"/>
    </row>
    <row r="63">
      <c r="B63" s="48"/>
    </row>
    <row r="64">
      <c r="B64" s="48"/>
    </row>
    <row r="65">
      <c r="B65" s="48"/>
    </row>
    <row r="66">
      <c r="B66" s="48"/>
    </row>
    <row r="67">
      <c r="B67" s="48"/>
    </row>
    <row r="68">
      <c r="B68" s="48"/>
    </row>
    <row r="69">
      <c r="B69" s="48"/>
    </row>
    <row r="70">
      <c r="B70" s="48"/>
    </row>
    <row r="71">
      <c r="B71" s="48"/>
    </row>
    <row r="72">
      <c r="B72" s="48"/>
    </row>
    <row r="73">
      <c r="B73" s="48"/>
    </row>
    <row r="74">
      <c r="B74" s="48"/>
    </row>
    <row r="75">
      <c r="B75" s="48"/>
    </row>
    <row r="76">
      <c r="B76" s="48"/>
    </row>
    <row r="77">
      <c r="B77" s="48"/>
    </row>
    <row r="78">
      <c r="B78" s="48"/>
    </row>
    <row r="79">
      <c r="B79" s="48"/>
    </row>
    <row r="80">
      <c r="B80" s="48"/>
    </row>
    <row r="81">
      <c r="B81" s="48"/>
    </row>
    <row r="82">
      <c r="B82" s="48"/>
    </row>
    <row r="83">
      <c r="B83" s="48"/>
    </row>
    <row r="84">
      <c r="B84" s="48"/>
    </row>
    <row r="85">
      <c r="B85" s="48"/>
    </row>
    <row r="86">
      <c r="B86" s="48"/>
    </row>
    <row r="87">
      <c r="B87" s="48"/>
    </row>
    <row r="88">
      <c r="B88" s="48"/>
    </row>
    <row r="89">
      <c r="B89" s="48"/>
    </row>
    <row r="90">
      <c r="B90" s="48"/>
    </row>
    <row r="91">
      <c r="B91" s="48"/>
    </row>
    <row r="92">
      <c r="B92" s="48"/>
    </row>
    <row r="93">
      <c r="B93" s="48"/>
    </row>
    <row r="94">
      <c r="B94" s="48"/>
    </row>
    <row r="95">
      <c r="B95" s="48"/>
    </row>
    <row r="96">
      <c r="B96" s="48"/>
    </row>
    <row r="97">
      <c r="B97" s="48"/>
    </row>
    <row r="98">
      <c r="B98" s="48"/>
    </row>
    <row r="99">
      <c r="B99" s="48"/>
    </row>
    <row r="100">
      <c r="B100" s="48"/>
    </row>
    <row r="101">
      <c r="B101" s="48"/>
    </row>
    <row r="102">
      <c r="B102" s="48"/>
    </row>
    <row r="103">
      <c r="B103" s="48"/>
    </row>
    <row r="104">
      <c r="B104" s="48"/>
    </row>
    <row r="105">
      <c r="B105" s="48"/>
    </row>
    <row r="106">
      <c r="B106" s="48"/>
    </row>
    <row r="107">
      <c r="B107" s="48"/>
    </row>
    <row r="108">
      <c r="B108" s="48"/>
    </row>
    <row r="109">
      <c r="B109" s="48"/>
    </row>
    <row r="110">
      <c r="B110" s="48"/>
    </row>
    <row r="111">
      <c r="B111" s="48"/>
    </row>
    <row r="112">
      <c r="B112" s="48"/>
    </row>
    <row r="113">
      <c r="B113" s="48"/>
    </row>
    <row r="114">
      <c r="B114" s="48"/>
    </row>
    <row r="115">
      <c r="B115" s="48"/>
    </row>
    <row r="116">
      <c r="B116" s="48"/>
    </row>
    <row r="117">
      <c r="B117" s="48"/>
    </row>
    <row r="118">
      <c r="B118" s="48"/>
    </row>
    <row r="119">
      <c r="B119" s="48"/>
    </row>
    <row r="120">
      <c r="B120" s="48"/>
    </row>
    <row r="121">
      <c r="B121" s="48"/>
    </row>
    <row r="122">
      <c r="B122" s="48"/>
    </row>
    <row r="123">
      <c r="B123" s="48"/>
    </row>
    <row r="124">
      <c r="B124" s="48"/>
    </row>
    <row r="125">
      <c r="B125" s="48"/>
    </row>
    <row r="126">
      <c r="B126" s="48"/>
    </row>
    <row r="127">
      <c r="B127" s="48"/>
    </row>
    <row r="128">
      <c r="B128" s="48"/>
    </row>
    <row r="129">
      <c r="B129" s="48"/>
    </row>
    <row r="130">
      <c r="B130" s="48"/>
    </row>
    <row r="131">
      <c r="B131" s="48"/>
    </row>
    <row r="132">
      <c r="B132" s="48"/>
    </row>
    <row r="133">
      <c r="B133" s="48"/>
    </row>
    <row r="134">
      <c r="B134" s="48"/>
    </row>
    <row r="135">
      <c r="B135" s="48"/>
    </row>
    <row r="136">
      <c r="B136" s="48"/>
    </row>
    <row r="137">
      <c r="B137" s="48"/>
    </row>
    <row r="138">
      <c r="B138" s="48"/>
    </row>
    <row r="139">
      <c r="B139" s="48"/>
    </row>
    <row r="140">
      <c r="B140" s="48"/>
    </row>
    <row r="141">
      <c r="B141" s="48"/>
    </row>
    <row r="142">
      <c r="B142" s="48"/>
    </row>
    <row r="143">
      <c r="B143" s="48"/>
    </row>
    <row r="144">
      <c r="B144" s="48"/>
    </row>
    <row r="145">
      <c r="B145" s="48"/>
    </row>
    <row r="146">
      <c r="B146" s="48"/>
    </row>
    <row r="147">
      <c r="B147" s="48"/>
    </row>
    <row r="148">
      <c r="B148" s="48"/>
    </row>
    <row r="149">
      <c r="B149" s="48"/>
    </row>
    <row r="150">
      <c r="B150" s="48"/>
    </row>
    <row r="151">
      <c r="B151" s="48"/>
    </row>
    <row r="152">
      <c r="B152" s="48"/>
    </row>
    <row r="153">
      <c r="B153" s="48"/>
    </row>
    <row r="154">
      <c r="B154" s="48"/>
    </row>
    <row r="155">
      <c r="B155" s="48"/>
    </row>
    <row r="156">
      <c r="B156" s="48"/>
    </row>
    <row r="157">
      <c r="B157" s="48"/>
    </row>
    <row r="158">
      <c r="B158" s="48"/>
    </row>
    <row r="159">
      <c r="B159" s="48"/>
    </row>
    <row r="160">
      <c r="B160" s="48"/>
    </row>
    <row r="161">
      <c r="B161" s="48"/>
    </row>
    <row r="162">
      <c r="B162" s="48"/>
    </row>
    <row r="163">
      <c r="B163" s="48"/>
    </row>
    <row r="164">
      <c r="B164" s="48"/>
    </row>
    <row r="165">
      <c r="B165" s="48"/>
    </row>
    <row r="166">
      <c r="B166" s="48"/>
    </row>
    <row r="167">
      <c r="B167" s="48"/>
    </row>
    <row r="168">
      <c r="B168" s="48"/>
    </row>
    <row r="169">
      <c r="B169" s="48"/>
    </row>
    <row r="170">
      <c r="B170" s="48"/>
    </row>
    <row r="171">
      <c r="B171" s="48"/>
    </row>
    <row r="172">
      <c r="B172" s="48"/>
    </row>
    <row r="173">
      <c r="B173" s="48"/>
    </row>
    <row r="174">
      <c r="B174" s="48"/>
    </row>
    <row r="175">
      <c r="B175" s="48"/>
    </row>
    <row r="176">
      <c r="B176" s="48"/>
    </row>
    <row r="177">
      <c r="B177" s="48"/>
    </row>
    <row r="178">
      <c r="B178" s="48"/>
    </row>
    <row r="179">
      <c r="B179" s="48"/>
    </row>
    <row r="180">
      <c r="B180" s="48"/>
    </row>
    <row r="181">
      <c r="B181" s="48"/>
    </row>
    <row r="182">
      <c r="B182" s="48"/>
    </row>
    <row r="183">
      <c r="B183" s="48"/>
    </row>
    <row r="184">
      <c r="B184" s="48"/>
    </row>
    <row r="185">
      <c r="B185" s="48"/>
    </row>
    <row r="186">
      <c r="B186" s="48"/>
    </row>
    <row r="187">
      <c r="B187" s="48"/>
    </row>
    <row r="188">
      <c r="B188" s="48"/>
    </row>
    <row r="189">
      <c r="B189" s="48"/>
    </row>
    <row r="190">
      <c r="B190" s="48"/>
    </row>
    <row r="191">
      <c r="B191" s="48"/>
    </row>
    <row r="192">
      <c r="B192" s="48"/>
    </row>
    <row r="193">
      <c r="B193" s="48"/>
    </row>
    <row r="194">
      <c r="B194" s="48"/>
    </row>
    <row r="195">
      <c r="B195" s="48"/>
    </row>
    <row r="196">
      <c r="B196" s="48"/>
    </row>
    <row r="197">
      <c r="B197" s="48"/>
    </row>
    <row r="198">
      <c r="B198" s="48"/>
    </row>
    <row r="199">
      <c r="B199" s="48"/>
    </row>
    <row r="200">
      <c r="B200" s="48"/>
    </row>
    <row r="201">
      <c r="B201" s="48"/>
    </row>
    <row r="202">
      <c r="B202" s="48"/>
    </row>
    <row r="203">
      <c r="B203" s="48"/>
    </row>
    <row r="204">
      <c r="B204" s="48"/>
    </row>
    <row r="205">
      <c r="B205" s="48"/>
    </row>
    <row r="206">
      <c r="B206" s="48"/>
    </row>
    <row r="207">
      <c r="B207" s="48"/>
    </row>
    <row r="208">
      <c r="B208" s="48"/>
    </row>
    <row r="209">
      <c r="B209" s="48"/>
    </row>
    <row r="210">
      <c r="B210" s="48"/>
    </row>
    <row r="211">
      <c r="B211" s="48"/>
    </row>
    <row r="212">
      <c r="B212" s="48"/>
    </row>
    <row r="213">
      <c r="B213" s="48"/>
    </row>
    <row r="214">
      <c r="B214" s="48"/>
    </row>
    <row r="215">
      <c r="B215" s="48"/>
    </row>
    <row r="216">
      <c r="B216" s="48"/>
    </row>
    <row r="217">
      <c r="B217" s="48"/>
    </row>
    <row r="218">
      <c r="B218" s="48"/>
    </row>
    <row r="219">
      <c r="B219" s="48"/>
    </row>
    <row r="220">
      <c r="B220" s="48"/>
    </row>
    <row r="221">
      <c r="B221" s="48"/>
    </row>
    <row r="222">
      <c r="B222" s="48"/>
    </row>
    <row r="223">
      <c r="B223" s="48"/>
    </row>
    <row r="224">
      <c r="B224" s="48"/>
    </row>
    <row r="225">
      <c r="B225" s="48"/>
    </row>
    <row r="226">
      <c r="B226" s="48"/>
    </row>
    <row r="227">
      <c r="B227" s="48"/>
    </row>
    <row r="228">
      <c r="B228" s="48"/>
    </row>
    <row r="229">
      <c r="B229" s="48"/>
    </row>
    <row r="230">
      <c r="B230" s="48"/>
    </row>
    <row r="231">
      <c r="B231" s="48"/>
    </row>
    <row r="232">
      <c r="B232" s="48"/>
    </row>
    <row r="233">
      <c r="B233" s="48"/>
    </row>
    <row r="234">
      <c r="B234" s="48"/>
    </row>
    <row r="235">
      <c r="B235" s="48"/>
    </row>
    <row r="236">
      <c r="B236" s="48"/>
    </row>
    <row r="237">
      <c r="B237" s="48"/>
    </row>
    <row r="238">
      <c r="B238" s="48"/>
    </row>
    <row r="239">
      <c r="B239" s="48"/>
    </row>
    <row r="240">
      <c r="B240" s="48"/>
    </row>
    <row r="241">
      <c r="B241" s="48"/>
    </row>
    <row r="242">
      <c r="B242" s="48"/>
    </row>
    <row r="243">
      <c r="B243" s="48"/>
    </row>
    <row r="244">
      <c r="B244" s="48"/>
    </row>
    <row r="245">
      <c r="B245" s="48"/>
    </row>
    <row r="246">
      <c r="B246" s="48"/>
    </row>
    <row r="247">
      <c r="B247" s="48"/>
    </row>
    <row r="248">
      <c r="B248" s="48"/>
    </row>
    <row r="249">
      <c r="B249" s="48"/>
    </row>
    <row r="250">
      <c r="B250" s="48"/>
    </row>
    <row r="251">
      <c r="B251" s="48"/>
    </row>
    <row r="252">
      <c r="B252" s="48"/>
    </row>
    <row r="253">
      <c r="B253" s="48"/>
    </row>
    <row r="254">
      <c r="B254" s="48"/>
    </row>
    <row r="255">
      <c r="B255" s="48"/>
    </row>
    <row r="256">
      <c r="B256" s="48"/>
    </row>
    <row r="257">
      <c r="B257" s="48"/>
    </row>
    <row r="258">
      <c r="B258" s="48"/>
    </row>
    <row r="259">
      <c r="B259" s="48"/>
    </row>
    <row r="260">
      <c r="B260" s="48"/>
    </row>
    <row r="261">
      <c r="B261" s="48"/>
    </row>
    <row r="262">
      <c r="B262" s="48"/>
    </row>
    <row r="263">
      <c r="B263" s="48"/>
    </row>
    <row r="264">
      <c r="B264" s="48"/>
    </row>
    <row r="265">
      <c r="B265" s="48"/>
    </row>
    <row r="266">
      <c r="B266" s="48"/>
    </row>
    <row r="267">
      <c r="B267" s="48"/>
    </row>
    <row r="268">
      <c r="B268" s="48"/>
    </row>
    <row r="269">
      <c r="B269" s="48"/>
    </row>
    <row r="270">
      <c r="B270" s="48"/>
    </row>
    <row r="271">
      <c r="B271" s="48"/>
    </row>
    <row r="272">
      <c r="B272" s="48"/>
    </row>
    <row r="273">
      <c r="B273" s="48"/>
    </row>
    <row r="274">
      <c r="B274" s="48"/>
    </row>
    <row r="275">
      <c r="B275" s="48"/>
    </row>
    <row r="276">
      <c r="B276" s="48"/>
    </row>
    <row r="277">
      <c r="B277" s="48"/>
    </row>
    <row r="278">
      <c r="B278" s="48"/>
    </row>
    <row r="279">
      <c r="B279" s="48"/>
    </row>
    <row r="280">
      <c r="B280" s="48"/>
    </row>
    <row r="281">
      <c r="B281" s="48"/>
    </row>
    <row r="282">
      <c r="B282" s="48"/>
    </row>
    <row r="283">
      <c r="B283" s="48"/>
    </row>
    <row r="284">
      <c r="B284" s="48"/>
    </row>
    <row r="285">
      <c r="B285" s="48"/>
    </row>
    <row r="286">
      <c r="B286" s="48"/>
    </row>
    <row r="287">
      <c r="B287" s="48"/>
    </row>
    <row r="288">
      <c r="B288" s="48"/>
    </row>
    <row r="289">
      <c r="B289" s="48"/>
    </row>
    <row r="290">
      <c r="B290" s="48"/>
    </row>
    <row r="291">
      <c r="B291" s="48"/>
    </row>
    <row r="292">
      <c r="B292" s="48"/>
    </row>
    <row r="293">
      <c r="B293" s="48"/>
    </row>
    <row r="294">
      <c r="B294" s="48"/>
    </row>
    <row r="295">
      <c r="B295" s="48"/>
    </row>
    <row r="296">
      <c r="B296" s="48"/>
    </row>
    <row r="297">
      <c r="B297" s="48"/>
    </row>
    <row r="298">
      <c r="B298" s="48"/>
    </row>
    <row r="299">
      <c r="B299" s="48"/>
    </row>
    <row r="300">
      <c r="B300" s="48"/>
    </row>
    <row r="301">
      <c r="B301" s="48"/>
    </row>
    <row r="302">
      <c r="B302" s="48"/>
    </row>
    <row r="303">
      <c r="B303" s="48"/>
    </row>
    <row r="304">
      <c r="B304" s="48"/>
    </row>
    <row r="305">
      <c r="B305" s="48"/>
    </row>
    <row r="306">
      <c r="B306" s="48"/>
    </row>
    <row r="307">
      <c r="B307" s="48"/>
    </row>
    <row r="308">
      <c r="B308" s="48"/>
    </row>
    <row r="309">
      <c r="B309" s="48"/>
    </row>
    <row r="310">
      <c r="B310" s="48"/>
    </row>
    <row r="311">
      <c r="B311" s="48"/>
    </row>
    <row r="312">
      <c r="B312" s="48"/>
    </row>
    <row r="313">
      <c r="B313" s="48"/>
    </row>
    <row r="314">
      <c r="B314" s="48"/>
    </row>
    <row r="315">
      <c r="B315" s="48"/>
    </row>
    <row r="316">
      <c r="B316" s="48"/>
    </row>
    <row r="317">
      <c r="B317" s="48"/>
    </row>
    <row r="318">
      <c r="B318" s="48"/>
    </row>
    <row r="319">
      <c r="B319" s="48"/>
    </row>
    <row r="320">
      <c r="B320" s="48"/>
    </row>
    <row r="321">
      <c r="B321" s="48"/>
    </row>
    <row r="322">
      <c r="B322" s="48"/>
    </row>
    <row r="323">
      <c r="B323" s="48"/>
    </row>
    <row r="324">
      <c r="B324" s="48"/>
    </row>
    <row r="325">
      <c r="B325" s="48"/>
    </row>
    <row r="326">
      <c r="B326" s="48"/>
    </row>
    <row r="327">
      <c r="B327" s="48"/>
    </row>
    <row r="328">
      <c r="B328" s="48"/>
    </row>
    <row r="329">
      <c r="B329" s="48"/>
    </row>
    <row r="330">
      <c r="B330" s="48"/>
    </row>
    <row r="331">
      <c r="B331" s="48"/>
    </row>
    <row r="332">
      <c r="B332" s="48"/>
    </row>
    <row r="333">
      <c r="B333" s="48"/>
    </row>
    <row r="334">
      <c r="B334" s="48"/>
    </row>
    <row r="335">
      <c r="B335" s="48"/>
    </row>
    <row r="336">
      <c r="B336" s="48"/>
    </row>
    <row r="337">
      <c r="B337" s="48"/>
    </row>
    <row r="338">
      <c r="B338" s="48"/>
    </row>
    <row r="339">
      <c r="B339" s="48"/>
    </row>
    <row r="340">
      <c r="B340" s="48"/>
    </row>
    <row r="341">
      <c r="B341" s="48"/>
    </row>
    <row r="342">
      <c r="B342" s="48"/>
    </row>
    <row r="343">
      <c r="B343" s="48"/>
    </row>
    <row r="344">
      <c r="B344" s="48"/>
    </row>
    <row r="345">
      <c r="B345" s="48"/>
    </row>
    <row r="346">
      <c r="B346" s="48"/>
    </row>
    <row r="347">
      <c r="B347" s="48"/>
    </row>
    <row r="348">
      <c r="B348" s="48"/>
    </row>
    <row r="349">
      <c r="B349" s="48"/>
    </row>
    <row r="350">
      <c r="B350" s="48"/>
    </row>
    <row r="351">
      <c r="B351" s="48"/>
    </row>
    <row r="352">
      <c r="B352" s="48"/>
    </row>
    <row r="353">
      <c r="B353" s="48"/>
    </row>
    <row r="354">
      <c r="B354" s="48"/>
    </row>
    <row r="355">
      <c r="B355" s="48"/>
    </row>
    <row r="356">
      <c r="B356" s="48"/>
    </row>
    <row r="357">
      <c r="B357" s="48"/>
    </row>
    <row r="358">
      <c r="B358" s="48"/>
    </row>
    <row r="359">
      <c r="B359" s="48"/>
    </row>
    <row r="360">
      <c r="B360" s="48"/>
    </row>
    <row r="361">
      <c r="B361" s="48"/>
    </row>
    <row r="362">
      <c r="B362" s="48"/>
    </row>
    <row r="363">
      <c r="B363" s="48"/>
    </row>
    <row r="364">
      <c r="B364" s="48"/>
    </row>
    <row r="365">
      <c r="B365" s="48"/>
    </row>
    <row r="366">
      <c r="B366" s="48"/>
    </row>
    <row r="367">
      <c r="B367" s="48"/>
    </row>
    <row r="368">
      <c r="B368" s="48"/>
    </row>
    <row r="369">
      <c r="B369" s="48"/>
    </row>
    <row r="370">
      <c r="B370" s="48"/>
    </row>
    <row r="371">
      <c r="B371" s="48"/>
    </row>
    <row r="372">
      <c r="B372" s="48"/>
    </row>
    <row r="373">
      <c r="B373" s="48"/>
    </row>
    <row r="374">
      <c r="B374" s="48"/>
    </row>
    <row r="375">
      <c r="B375" s="48"/>
    </row>
    <row r="376">
      <c r="B376" s="48"/>
    </row>
    <row r="377">
      <c r="B377" s="48"/>
    </row>
    <row r="378">
      <c r="B378" s="48"/>
    </row>
    <row r="379">
      <c r="B379" s="48"/>
    </row>
    <row r="380">
      <c r="B380" s="48"/>
    </row>
    <row r="381">
      <c r="B381" s="48"/>
    </row>
    <row r="382">
      <c r="B382" s="48"/>
    </row>
    <row r="383">
      <c r="B383" s="48"/>
    </row>
    <row r="384">
      <c r="B384" s="48"/>
    </row>
    <row r="385">
      <c r="B385" s="48"/>
    </row>
    <row r="386">
      <c r="B386" s="48"/>
    </row>
    <row r="387">
      <c r="B387" s="48"/>
    </row>
    <row r="388">
      <c r="B388" s="48"/>
    </row>
    <row r="389">
      <c r="B389" s="48"/>
    </row>
    <row r="390">
      <c r="B390" s="48"/>
    </row>
    <row r="391">
      <c r="B391" s="48"/>
    </row>
    <row r="392">
      <c r="B392" s="48"/>
    </row>
    <row r="393">
      <c r="B393" s="48"/>
    </row>
    <row r="394">
      <c r="B394" s="48"/>
    </row>
    <row r="395">
      <c r="B395" s="48"/>
    </row>
    <row r="396">
      <c r="B396" s="48"/>
    </row>
    <row r="397">
      <c r="B397" s="48"/>
    </row>
    <row r="398">
      <c r="B398" s="48"/>
    </row>
    <row r="399">
      <c r="B399" s="48"/>
    </row>
    <row r="400">
      <c r="B400" s="48"/>
    </row>
    <row r="401">
      <c r="B401" s="48"/>
    </row>
    <row r="402">
      <c r="B402" s="48"/>
    </row>
    <row r="403">
      <c r="B403" s="48"/>
    </row>
    <row r="404">
      <c r="B404" s="48"/>
    </row>
    <row r="405">
      <c r="B405" s="48"/>
    </row>
    <row r="406">
      <c r="B406" s="48"/>
    </row>
    <row r="407">
      <c r="B407" s="48"/>
    </row>
    <row r="408">
      <c r="B408" s="48"/>
    </row>
    <row r="409">
      <c r="B409" s="48"/>
    </row>
    <row r="410">
      <c r="B410" s="48"/>
    </row>
    <row r="411">
      <c r="B411" s="48"/>
    </row>
    <row r="412">
      <c r="B412" s="48"/>
    </row>
    <row r="413">
      <c r="B413" s="48"/>
    </row>
    <row r="414">
      <c r="B414" s="48"/>
    </row>
    <row r="415">
      <c r="B415" s="48"/>
    </row>
    <row r="416">
      <c r="B416" s="48"/>
    </row>
    <row r="417">
      <c r="B417" s="48"/>
    </row>
    <row r="418">
      <c r="B418" s="48"/>
    </row>
    <row r="419">
      <c r="B419" s="48"/>
    </row>
    <row r="420">
      <c r="B420" s="48"/>
    </row>
    <row r="421">
      <c r="B421" s="48"/>
    </row>
    <row r="422">
      <c r="B422" s="48"/>
    </row>
    <row r="423">
      <c r="B423" s="48"/>
    </row>
    <row r="424">
      <c r="B424" s="48"/>
    </row>
    <row r="425">
      <c r="B425" s="48"/>
    </row>
    <row r="426">
      <c r="B426" s="48"/>
    </row>
    <row r="427">
      <c r="B427" s="48"/>
    </row>
    <row r="428">
      <c r="B428" s="48"/>
    </row>
    <row r="429">
      <c r="B429" s="48"/>
    </row>
    <row r="430">
      <c r="B430" s="48"/>
    </row>
    <row r="431">
      <c r="B431" s="48"/>
    </row>
    <row r="432">
      <c r="B432" s="48"/>
    </row>
    <row r="433">
      <c r="B433" s="48"/>
    </row>
    <row r="434">
      <c r="B434" s="48"/>
    </row>
    <row r="435">
      <c r="B435" s="48"/>
    </row>
    <row r="436">
      <c r="B436" s="48"/>
    </row>
    <row r="437">
      <c r="B437" s="48"/>
    </row>
    <row r="438">
      <c r="B438" s="48"/>
    </row>
    <row r="439">
      <c r="B439" s="48"/>
    </row>
    <row r="440">
      <c r="B440" s="48"/>
    </row>
    <row r="441">
      <c r="B441" s="48"/>
    </row>
    <row r="442">
      <c r="B442" s="48"/>
    </row>
    <row r="443">
      <c r="B443" s="48"/>
    </row>
    <row r="444">
      <c r="B444" s="48"/>
    </row>
    <row r="445">
      <c r="B445" s="48"/>
    </row>
    <row r="446">
      <c r="B446" s="48"/>
    </row>
    <row r="447">
      <c r="B447" s="48"/>
    </row>
    <row r="448">
      <c r="B448" s="48"/>
    </row>
    <row r="449">
      <c r="B449" s="48"/>
    </row>
    <row r="450">
      <c r="B450" s="48"/>
    </row>
    <row r="451">
      <c r="B451" s="48"/>
    </row>
    <row r="452">
      <c r="B452" s="48"/>
    </row>
    <row r="453">
      <c r="B453" s="48"/>
    </row>
    <row r="454">
      <c r="B454" s="48"/>
    </row>
    <row r="455">
      <c r="B455" s="48"/>
    </row>
    <row r="456">
      <c r="B456" s="48"/>
    </row>
    <row r="457">
      <c r="B457" s="48"/>
    </row>
    <row r="458">
      <c r="B458" s="48"/>
    </row>
    <row r="459">
      <c r="B459" s="48"/>
    </row>
    <row r="460">
      <c r="B460" s="48"/>
    </row>
    <row r="461">
      <c r="B461" s="48"/>
    </row>
    <row r="462">
      <c r="B462" s="48"/>
    </row>
    <row r="463">
      <c r="B463" s="48"/>
    </row>
    <row r="464">
      <c r="B464" s="48"/>
    </row>
    <row r="465">
      <c r="B465" s="48"/>
    </row>
    <row r="466">
      <c r="B466" s="48"/>
    </row>
    <row r="467">
      <c r="B467" s="48"/>
    </row>
    <row r="468">
      <c r="B468" s="48"/>
    </row>
    <row r="469">
      <c r="B469" s="48"/>
    </row>
    <row r="470">
      <c r="B470" s="48"/>
    </row>
    <row r="471">
      <c r="B471" s="48"/>
    </row>
    <row r="472">
      <c r="B472" s="48"/>
    </row>
    <row r="473">
      <c r="B473" s="48"/>
    </row>
    <row r="474">
      <c r="B474" s="48"/>
    </row>
    <row r="475">
      <c r="B475" s="48"/>
    </row>
    <row r="476">
      <c r="B476" s="48"/>
    </row>
    <row r="477">
      <c r="B477" s="48"/>
    </row>
    <row r="478">
      <c r="B478" s="48"/>
    </row>
    <row r="479">
      <c r="B479" s="48"/>
    </row>
    <row r="480">
      <c r="B480" s="48"/>
    </row>
    <row r="481">
      <c r="B481" s="48"/>
    </row>
    <row r="482">
      <c r="B482" s="48"/>
    </row>
    <row r="483">
      <c r="B483" s="48"/>
    </row>
    <row r="484">
      <c r="B484" s="48"/>
    </row>
    <row r="485">
      <c r="B485" s="48"/>
    </row>
    <row r="486">
      <c r="B486" s="48"/>
    </row>
    <row r="487">
      <c r="B487" s="48"/>
    </row>
    <row r="488">
      <c r="B488" s="48"/>
    </row>
    <row r="489">
      <c r="B489" s="48"/>
    </row>
    <row r="490">
      <c r="B490" s="48"/>
    </row>
    <row r="491">
      <c r="B491" s="48"/>
    </row>
    <row r="492">
      <c r="B492" s="48"/>
    </row>
    <row r="493">
      <c r="B493" s="48"/>
    </row>
    <row r="494">
      <c r="B494" s="48"/>
    </row>
    <row r="495">
      <c r="B495" s="48"/>
    </row>
    <row r="496">
      <c r="B496" s="48"/>
    </row>
    <row r="497">
      <c r="B497" s="48"/>
    </row>
    <row r="498">
      <c r="B498" s="48"/>
    </row>
    <row r="499">
      <c r="B499" s="48"/>
    </row>
    <row r="500">
      <c r="B500" s="48"/>
    </row>
    <row r="501">
      <c r="B501" s="48"/>
    </row>
    <row r="502">
      <c r="B502" s="48"/>
    </row>
    <row r="503">
      <c r="B503" s="48"/>
    </row>
    <row r="504">
      <c r="B504" s="48"/>
    </row>
    <row r="505">
      <c r="B505" s="48"/>
    </row>
    <row r="506">
      <c r="B506" s="48"/>
    </row>
    <row r="507">
      <c r="B507" s="48"/>
    </row>
    <row r="508">
      <c r="B508" s="48"/>
    </row>
    <row r="509">
      <c r="B509" s="48"/>
    </row>
    <row r="510">
      <c r="B510" s="48"/>
    </row>
    <row r="511">
      <c r="B511" s="48"/>
    </row>
    <row r="512">
      <c r="B512" s="48"/>
    </row>
    <row r="513">
      <c r="B513" s="48"/>
    </row>
    <row r="514">
      <c r="B514" s="48"/>
    </row>
    <row r="515">
      <c r="B515" s="48"/>
    </row>
    <row r="516">
      <c r="B516" s="48"/>
    </row>
    <row r="517">
      <c r="B517" s="48"/>
    </row>
    <row r="518">
      <c r="B518" s="48"/>
    </row>
    <row r="519">
      <c r="B519" s="48"/>
    </row>
    <row r="520">
      <c r="B520" s="48"/>
    </row>
    <row r="521">
      <c r="B521" s="48"/>
    </row>
    <row r="522">
      <c r="B522" s="48"/>
    </row>
    <row r="523">
      <c r="B523" s="48"/>
    </row>
    <row r="524">
      <c r="B524" s="48"/>
    </row>
    <row r="525">
      <c r="B525" s="48"/>
    </row>
    <row r="526">
      <c r="B526" s="48"/>
    </row>
    <row r="527">
      <c r="B527" s="48"/>
    </row>
    <row r="528">
      <c r="B528" s="48"/>
    </row>
    <row r="529">
      <c r="B529" s="48"/>
    </row>
    <row r="530">
      <c r="B530" s="48"/>
    </row>
    <row r="531">
      <c r="B531" s="48"/>
    </row>
    <row r="532">
      <c r="B532" s="48"/>
    </row>
    <row r="533">
      <c r="B533" s="48"/>
    </row>
    <row r="534">
      <c r="B534" s="48"/>
    </row>
    <row r="535">
      <c r="B535" s="48"/>
    </row>
    <row r="536">
      <c r="B536" s="48"/>
    </row>
    <row r="537">
      <c r="B537" s="48"/>
    </row>
    <row r="538">
      <c r="B538" s="48"/>
    </row>
    <row r="539">
      <c r="B539" s="48"/>
    </row>
    <row r="540">
      <c r="B540" s="48"/>
    </row>
    <row r="541">
      <c r="B541" s="48"/>
    </row>
    <row r="542">
      <c r="B542" s="48"/>
    </row>
    <row r="543">
      <c r="B543" s="48"/>
    </row>
    <row r="544">
      <c r="B544" s="48"/>
    </row>
    <row r="545">
      <c r="B545" s="48"/>
    </row>
    <row r="546">
      <c r="B546" s="48"/>
    </row>
    <row r="547">
      <c r="B547" s="48"/>
    </row>
    <row r="548">
      <c r="B548" s="48"/>
    </row>
    <row r="549">
      <c r="B549" s="48"/>
    </row>
    <row r="550">
      <c r="B550" s="48"/>
    </row>
    <row r="551">
      <c r="B551" s="48"/>
    </row>
    <row r="552">
      <c r="B552" s="48"/>
    </row>
    <row r="553">
      <c r="B553" s="48"/>
    </row>
    <row r="554">
      <c r="B554" s="48"/>
    </row>
    <row r="555">
      <c r="B555" s="48"/>
    </row>
    <row r="556">
      <c r="B556" s="48"/>
    </row>
    <row r="557">
      <c r="B557" s="48"/>
    </row>
    <row r="558">
      <c r="B558" s="48"/>
    </row>
    <row r="559">
      <c r="B559" s="48"/>
    </row>
    <row r="560">
      <c r="B560" s="48"/>
    </row>
    <row r="561">
      <c r="B561" s="48"/>
    </row>
    <row r="562">
      <c r="B562" s="48"/>
    </row>
    <row r="563">
      <c r="B563" s="48"/>
    </row>
    <row r="564">
      <c r="B564" s="48"/>
    </row>
    <row r="565">
      <c r="B565" s="48"/>
    </row>
    <row r="566">
      <c r="B566" s="48"/>
    </row>
    <row r="567">
      <c r="B567" s="48"/>
    </row>
    <row r="568">
      <c r="B568" s="48"/>
    </row>
    <row r="569">
      <c r="B569" s="48"/>
    </row>
    <row r="570">
      <c r="B570" s="48"/>
    </row>
    <row r="571">
      <c r="B571" s="48"/>
    </row>
    <row r="572">
      <c r="B572" s="48"/>
    </row>
    <row r="573">
      <c r="B573" s="48"/>
    </row>
    <row r="574">
      <c r="B574" s="48"/>
    </row>
    <row r="575">
      <c r="B575" s="48"/>
    </row>
    <row r="576">
      <c r="B576" s="48"/>
    </row>
    <row r="577">
      <c r="B577" s="48"/>
    </row>
    <row r="578">
      <c r="B578" s="48"/>
    </row>
    <row r="579">
      <c r="B579" s="48"/>
    </row>
    <row r="580">
      <c r="B580" s="48"/>
    </row>
    <row r="581">
      <c r="B581" s="48"/>
    </row>
    <row r="582">
      <c r="B582" s="48"/>
    </row>
    <row r="583">
      <c r="B583" s="48"/>
    </row>
    <row r="584">
      <c r="B584" s="48"/>
    </row>
    <row r="585">
      <c r="B585" s="48"/>
    </row>
    <row r="586">
      <c r="B586" s="48"/>
    </row>
    <row r="587">
      <c r="B587" s="48"/>
    </row>
    <row r="588">
      <c r="B588" s="48"/>
    </row>
    <row r="589">
      <c r="B589" s="48"/>
    </row>
    <row r="590">
      <c r="B590" s="48"/>
    </row>
    <row r="591">
      <c r="B591" s="48"/>
    </row>
    <row r="592">
      <c r="B592" s="48"/>
    </row>
    <row r="593">
      <c r="B593" s="48"/>
    </row>
    <row r="594">
      <c r="B594" s="48"/>
    </row>
    <row r="595">
      <c r="B595" s="48"/>
    </row>
    <row r="596">
      <c r="B596" s="48"/>
    </row>
    <row r="597">
      <c r="B597" s="48"/>
    </row>
    <row r="598">
      <c r="B598" s="48"/>
    </row>
    <row r="599">
      <c r="B599" s="48"/>
    </row>
    <row r="600">
      <c r="B600" s="48"/>
    </row>
    <row r="601">
      <c r="B601" s="48"/>
    </row>
    <row r="602">
      <c r="B602" s="48"/>
    </row>
    <row r="603">
      <c r="B603" s="48"/>
    </row>
    <row r="604">
      <c r="B604" s="48"/>
    </row>
    <row r="605">
      <c r="B605" s="48"/>
    </row>
    <row r="606">
      <c r="B606" s="48"/>
    </row>
    <row r="607">
      <c r="B607" s="48"/>
    </row>
    <row r="608">
      <c r="B608" s="48"/>
    </row>
    <row r="609">
      <c r="B609" s="48"/>
    </row>
    <row r="610">
      <c r="B610" s="48"/>
    </row>
    <row r="611">
      <c r="B611" s="48"/>
    </row>
    <row r="612">
      <c r="B612" s="48"/>
    </row>
    <row r="613">
      <c r="B613" s="48"/>
    </row>
    <row r="614">
      <c r="B614" s="48"/>
    </row>
    <row r="615">
      <c r="B615" s="48"/>
    </row>
    <row r="616">
      <c r="B616" s="48"/>
    </row>
    <row r="617">
      <c r="B617" s="48"/>
    </row>
    <row r="618">
      <c r="B618" s="48"/>
    </row>
    <row r="619">
      <c r="B619" s="48"/>
    </row>
    <row r="620">
      <c r="B620" s="48"/>
    </row>
    <row r="621">
      <c r="B621" s="48"/>
    </row>
    <row r="622">
      <c r="B622" s="48"/>
    </row>
    <row r="623">
      <c r="B623" s="48"/>
    </row>
    <row r="624">
      <c r="B624" s="48"/>
    </row>
    <row r="625">
      <c r="B625" s="48"/>
    </row>
    <row r="626">
      <c r="B626" s="48"/>
    </row>
    <row r="627">
      <c r="B627" s="48"/>
    </row>
    <row r="628">
      <c r="B628" s="48"/>
    </row>
    <row r="629">
      <c r="B629" s="48"/>
    </row>
    <row r="630">
      <c r="B630" s="48"/>
    </row>
    <row r="631">
      <c r="B631" s="48"/>
    </row>
    <row r="632">
      <c r="B632" s="48"/>
    </row>
    <row r="633">
      <c r="B633" s="48"/>
    </row>
    <row r="634">
      <c r="B634" s="48"/>
    </row>
    <row r="635">
      <c r="B635" s="48"/>
    </row>
    <row r="636">
      <c r="B636" s="48"/>
    </row>
    <row r="637">
      <c r="B637" s="48"/>
    </row>
    <row r="638">
      <c r="B638" s="48"/>
    </row>
    <row r="639">
      <c r="B639" s="48"/>
    </row>
    <row r="640">
      <c r="B640" s="48"/>
    </row>
    <row r="641">
      <c r="B641" s="48"/>
    </row>
    <row r="642">
      <c r="B642" s="48"/>
    </row>
    <row r="643">
      <c r="B643" s="48"/>
    </row>
    <row r="644">
      <c r="B644" s="48"/>
    </row>
    <row r="645">
      <c r="B645" s="48"/>
    </row>
    <row r="646">
      <c r="B646" s="48"/>
    </row>
    <row r="647">
      <c r="B647" s="48"/>
    </row>
    <row r="648">
      <c r="B648" s="48"/>
    </row>
    <row r="649">
      <c r="B649" s="48"/>
    </row>
    <row r="650">
      <c r="B650" s="48"/>
    </row>
    <row r="651">
      <c r="B651" s="48"/>
    </row>
    <row r="652">
      <c r="B652" s="48"/>
    </row>
    <row r="653">
      <c r="B653" s="48"/>
    </row>
    <row r="654">
      <c r="B654" s="48"/>
    </row>
    <row r="655">
      <c r="B655" s="48"/>
    </row>
    <row r="656">
      <c r="B656" s="48"/>
    </row>
    <row r="657">
      <c r="B657" s="48"/>
    </row>
    <row r="658">
      <c r="B658" s="48"/>
    </row>
    <row r="659">
      <c r="B659" s="48"/>
    </row>
    <row r="660">
      <c r="B660" s="48"/>
    </row>
    <row r="661">
      <c r="B661" s="48"/>
    </row>
    <row r="662">
      <c r="B662" s="48"/>
    </row>
    <row r="663">
      <c r="B663" s="48"/>
    </row>
    <row r="664">
      <c r="B664" s="48"/>
    </row>
    <row r="665">
      <c r="B665" s="48"/>
    </row>
    <row r="666">
      <c r="B666" s="48"/>
    </row>
    <row r="667">
      <c r="B667" s="48"/>
    </row>
    <row r="668">
      <c r="B668" s="48"/>
    </row>
    <row r="669">
      <c r="B669" s="48"/>
    </row>
    <row r="670">
      <c r="B670" s="48"/>
    </row>
    <row r="671">
      <c r="B671" s="48"/>
    </row>
    <row r="672">
      <c r="B672" s="48"/>
    </row>
    <row r="673">
      <c r="B673" s="48"/>
    </row>
    <row r="674">
      <c r="B674" s="48"/>
    </row>
    <row r="675">
      <c r="B675" s="48"/>
    </row>
    <row r="676">
      <c r="B676" s="48"/>
    </row>
    <row r="677">
      <c r="B677" s="48"/>
    </row>
    <row r="678">
      <c r="B678" s="48"/>
    </row>
    <row r="679">
      <c r="B679" s="48"/>
    </row>
    <row r="680">
      <c r="B680" s="48"/>
    </row>
    <row r="681">
      <c r="B681" s="48"/>
    </row>
    <row r="682">
      <c r="B682" s="48"/>
    </row>
    <row r="683">
      <c r="B683" s="48"/>
    </row>
    <row r="684">
      <c r="B684" s="48"/>
    </row>
    <row r="685">
      <c r="B685" s="48"/>
    </row>
    <row r="686">
      <c r="B686" s="48"/>
    </row>
    <row r="687">
      <c r="B687" s="48"/>
    </row>
    <row r="688">
      <c r="B688" s="48"/>
    </row>
    <row r="689">
      <c r="B689" s="48"/>
    </row>
    <row r="690">
      <c r="B690" s="48"/>
    </row>
    <row r="691">
      <c r="B691" s="48"/>
    </row>
    <row r="692">
      <c r="B692" s="48"/>
    </row>
    <row r="693">
      <c r="B693" s="48"/>
    </row>
    <row r="694">
      <c r="B694" s="48"/>
    </row>
    <row r="695">
      <c r="B695" s="48"/>
    </row>
    <row r="696">
      <c r="B696" s="48"/>
    </row>
    <row r="697">
      <c r="B697" s="48"/>
    </row>
    <row r="698">
      <c r="B698" s="48"/>
    </row>
    <row r="699">
      <c r="B699" s="48"/>
    </row>
    <row r="700">
      <c r="B700" s="48"/>
    </row>
    <row r="701">
      <c r="B701" s="48"/>
    </row>
    <row r="702">
      <c r="B702" s="48"/>
    </row>
    <row r="703">
      <c r="B703" s="48"/>
    </row>
    <row r="704">
      <c r="B704" s="48"/>
    </row>
    <row r="705">
      <c r="B705" s="48"/>
    </row>
    <row r="706">
      <c r="B706" s="48"/>
    </row>
    <row r="707">
      <c r="B707" s="48"/>
    </row>
    <row r="708">
      <c r="B708" s="48"/>
    </row>
    <row r="709">
      <c r="B709" s="48"/>
    </row>
    <row r="710">
      <c r="B710" s="48"/>
    </row>
    <row r="711">
      <c r="B711" s="48"/>
    </row>
    <row r="712">
      <c r="B712" s="48"/>
    </row>
    <row r="713">
      <c r="B713" s="48"/>
    </row>
    <row r="714">
      <c r="B714" s="48"/>
    </row>
    <row r="715">
      <c r="B715" s="48"/>
    </row>
    <row r="716">
      <c r="B716" s="48"/>
    </row>
    <row r="717">
      <c r="B717" s="48"/>
    </row>
    <row r="718">
      <c r="B718" s="48"/>
    </row>
    <row r="719">
      <c r="B719" s="48"/>
    </row>
    <row r="720">
      <c r="B720" s="48"/>
    </row>
    <row r="721">
      <c r="B721" s="48"/>
    </row>
    <row r="722">
      <c r="B722" s="48"/>
    </row>
    <row r="723">
      <c r="B723" s="48"/>
    </row>
    <row r="724">
      <c r="B724" s="48"/>
    </row>
    <row r="725">
      <c r="B725" s="48"/>
    </row>
    <row r="726">
      <c r="B726" s="48"/>
    </row>
    <row r="727">
      <c r="B727" s="48"/>
    </row>
    <row r="728">
      <c r="B728" s="48"/>
    </row>
    <row r="729">
      <c r="B729" s="48"/>
    </row>
    <row r="730">
      <c r="B730" s="48"/>
    </row>
    <row r="731">
      <c r="B731" s="48"/>
    </row>
    <row r="732">
      <c r="B732" s="48"/>
    </row>
    <row r="733">
      <c r="B733" s="48"/>
    </row>
    <row r="734">
      <c r="B734" s="48"/>
    </row>
    <row r="735">
      <c r="B735" s="48"/>
    </row>
    <row r="736">
      <c r="B736" s="48"/>
    </row>
    <row r="737">
      <c r="B737" s="48"/>
    </row>
    <row r="738">
      <c r="B738" s="48"/>
    </row>
    <row r="739">
      <c r="B739" s="48"/>
    </row>
    <row r="740">
      <c r="B740" s="48"/>
    </row>
    <row r="741">
      <c r="B741" s="48"/>
    </row>
    <row r="742">
      <c r="B742" s="48"/>
    </row>
    <row r="743">
      <c r="B743" s="48"/>
    </row>
    <row r="744">
      <c r="B744" s="48"/>
    </row>
    <row r="745">
      <c r="B745" s="48"/>
    </row>
    <row r="746">
      <c r="B746" s="48"/>
    </row>
    <row r="747">
      <c r="B747" s="48"/>
    </row>
    <row r="748">
      <c r="B748" s="48"/>
    </row>
    <row r="749">
      <c r="B749" s="48"/>
    </row>
    <row r="750">
      <c r="B750" s="48"/>
    </row>
    <row r="751">
      <c r="B751" s="48"/>
    </row>
    <row r="752">
      <c r="B752" s="48"/>
    </row>
    <row r="753">
      <c r="B753" s="48"/>
    </row>
    <row r="754">
      <c r="B754" s="48"/>
    </row>
    <row r="755">
      <c r="B755" s="48"/>
    </row>
    <row r="756">
      <c r="B756" s="48"/>
    </row>
    <row r="757">
      <c r="B757" s="48"/>
    </row>
    <row r="758">
      <c r="B758" s="48"/>
    </row>
    <row r="759">
      <c r="B759" s="48"/>
    </row>
    <row r="760">
      <c r="B760" s="48"/>
    </row>
    <row r="761">
      <c r="B761" s="48"/>
    </row>
    <row r="762">
      <c r="B762" s="48"/>
    </row>
    <row r="763">
      <c r="B763" s="48"/>
    </row>
    <row r="764">
      <c r="B764" s="48"/>
    </row>
    <row r="765">
      <c r="B765" s="48"/>
    </row>
    <row r="766">
      <c r="B766" s="48"/>
    </row>
    <row r="767">
      <c r="B767" s="48"/>
    </row>
    <row r="768">
      <c r="B768" s="48"/>
    </row>
    <row r="769">
      <c r="B769" s="48"/>
    </row>
    <row r="770">
      <c r="B770" s="48"/>
    </row>
    <row r="771">
      <c r="B771" s="48"/>
    </row>
    <row r="772">
      <c r="B772" s="48"/>
    </row>
    <row r="773">
      <c r="B773" s="48"/>
    </row>
    <row r="774">
      <c r="B774" s="48"/>
    </row>
    <row r="775">
      <c r="B775" s="48"/>
    </row>
    <row r="776">
      <c r="B776" s="48"/>
    </row>
    <row r="777">
      <c r="B777" s="48"/>
    </row>
    <row r="778">
      <c r="B778" s="48"/>
    </row>
    <row r="779">
      <c r="B779" s="48"/>
    </row>
    <row r="780">
      <c r="B780" s="48"/>
    </row>
    <row r="781">
      <c r="B781" s="48"/>
    </row>
    <row r="782">
      <c r="B782" s="48"/>
    </row>
    <row r="783">
      <c r="B783" s="48"/>
    </row>
    <row r="784">
      <c r="B784" s="48"/>
    </row>
    <row r="785">
      <c r="B785" s="48"/>
    </row>
    <row r="786">
      <c r="B786" s="48"/>
    </row>
    <row r="787">
      <c r="B787" s="48"/>
    </row>
    <row r="788">
      <c r="B788" s="48"/>
    </row>
    <row r="789">
      <c r="B789" s="48"/>
    </row>
    <row r="790">
      <c r="B790" s="48"/>
    </row>
    <row r="791">
      <c r="B791" s="48"/>
    </row>
    <row r="792">
      <c r="B792" s="48"/>
    </row>
    <row r="793">
      <c r="B793" s="48"/>
    </row>
    <row r="794">
      <c r="B794" s="48"/>
    </row>
    <row r="795">
      <c r="B795" s="48"/>
    </row>
    <row r="796">
      <c r="B796" s="48"/>
    </row>
    <row r="797">
      <c r="B797" s="48"/>
    </row>
    <row r="798">
      <c r="B798" s="48"/>
    </row>
    <row r="799">
      <c r="B799" s="48"/>
    </row>
    <row r="800">
      <c r="B800" s="48"/>
    </row>
    <row r="801">
      <c r="B801" s="48"/>
    </row>
    <row r="802">
      <c r="B802" s="48"/>
    </row>
    <row r="803">
      <c r="B803" s="48"/>
    </row>
    <row r="804">
      <c r="B804" s="48"/>
    </row>
    <row r="805">
      <c r="B805" s="48"/>
    </row>
    <row r="806">
      <c r="B806" s="48"/>
    </row>
    <row r="807">
      <c r="B807" s="48"/>
    </row>
    <row r="808">
      <c r="B808" s="48"/>
    </row>
    <row r="809">
      <c r="B809" s="48"/>
    </row>
    <row r="810">
      <c r="B810" s="48"/>
    </row>
    <row r="811">
      <c r="B811" s="48"/>
    </row>
    <row r="812">
      <c r="B812" s="48"/>
    </row>
    <row r="813">
      <c r="B813" s="48"/>
    </row>
    <row r="814">
      <c r="B814" s="48"/>
    </row>
    <row r="815">
      <c r="B815" s="48"/>
    </row>
    <row r="816">
      <c r="B816" s="48"/>
    </row>
    <row r="817">
      <c r="B817" s="48"/>
    </row>
    <row r="818">
      <c r="B818" s="48"/>
    </row>
    <row r="819">
      <c r="B819" s="48"/>
    </row>
    <row r="820">
      <c r="B820" s="48"/>
    </row>
    <row r="821">
      <c r="B821" s="48"/>
    </row>
    <row r="822">
      <c r="B822" s="48"/>
    </row>
    <row r="823">
      <c r="B823" s="48"/>
    </row>
    <row r="824">
      <c r="B824" s="48"/>
    </row>
    <row r="825">
      <c r="B825" s="48"/>
    </row>
    <row r="826">
      <c r="B826" s="48"/>
    </row>
    <row r="827">
      <c r="B827" s="48"/>
    </row>
    <row r="828">
      <c r="B828" s="48"/>
    </row>
    <row r="829">
      <c r="B829" s="48"/>
    </row>
    <row r="830">
      <c r="B830" s="48"/>
    </row>
    <row r="831">
      <c r="B831" s="48"/>
    </row>
    <row r="832">
      <c r="B832" s="48"/>
    </row>
    <row r="833">
      <c r="B833" s="48"/>
    </row>
    <row r="834">
      <c r="B834" s="48"/>
    </row>
    <row r="835">
      <c r="B835" s="48"/>
    </row>
    <row r="836">
      <c r="B836" s="48"/>
    </row>
    <row r="837">
      <c r="B837" s="48"/>
    </row>
    <row r="838">
      <c r="B838" s="48"/>
    </row>
    <row r="839">
      <c r="B839" s="48"/>
    </row>
    <row r="840">
      <c r="B840" s="48"/>
    </row>
    <row r="841">
      <c r="B841" s="48"/>
    </row>
    <row r="842">
      <c r="B842" s="48"/>
    </row>
    <row r="843">
      <c r="B843" s="48"/>
    </row>
    <row r="844">
      <c r="B844" s="48"/>
    </row>
    <row r="845">
      <c r="B845" s="48"/>
    </row>
    <row r="846">
      <c r="B846" s="48"/>
    </row>
    <row r="847">
      <c r="B847" s="48"/>
    </row>
    <row r="848">
      <c r="B848" s="48"/>
    </row>
    <row r="849">
      <c r="B849" s="48"/>
    </row>
    <row r="850">
      <c r="B850" s="48"/>
    </row>
    <row r="851">
      <c r="B851" s="48"/>
    </row>
    <row r="852">
      <c r="B852" s="48"/>
    </row>
    <row r="853">
      <c r="B853" s="48"/>
    </row>
    <row r="854">
      <c r="B854" s="48"/>
    </row>
    <row r="855">
      <c r="B855" s="48"/>
    </row>
    <row r="856">
      <c r="B856" s="48"/>
    </row>
    <row r="857">
      <c r="B857" s="48"/>
    </row>
    <row r="858">
      <c r="B858" s="48"/>
    </row>
    <row r="859">
      <c r="B859" s="48"/>
    </row>
    <row r="860">
      <c r="B860" s="48"/>
    </row>
    <row r="861">
      <c r="B861" s="48"/>
    </row>
    <row r="862">
      <c r="B862" s="48"/>
    </row>
    <row r="863">
      <c r="B863" s="48"/>
    </row>
    <row r="864">
      <c r="B864" s="48"/>
    </row>
    <row r="865">
      <c r="B865" s="48"/>
    </row>
    <row r="866">
      <c r="B866" s="48"/>
    </row>
    <row r="867">
      <c r="B867" s="48"/>
    </row>
    <row r="868">
      <c r="B868" s="48"/>
    </row>
    <row r="869">
      <c r="B869" s="48"/>
    </row>
    <row r="870">
      <c r="B870" s="48"/>
    </row>
    <row r="871">
      <c r="B871" s="48"/>
    </row>
    <row r="872">
      <c r="B872" s="48"/>
    </row>
    <row r="873">
      <c r="B873" s="48"/>
    </row>
    <row r="874">
      <c r="B874" s="48"/>
    </row>
    <row r="875">
      <c r="B875" s="48"/>
    </row>
    <row r="876">
      <c r="B876" s="48"/>
    </row>
    <row r="877">
      <c r="B877" s="48"/>
    </row>
    <row r="878">
      <c r="B878" s="48"/>
    </row>
    <row r="879">
      <c r="B879" s="48"/>
    </row>
    <row r="880">
      <c r="B880" s="48"/>
    </row>
    <row r="881">
      <c r="B881" s="48"/>
    </row>
    <row r="882">
      <c r="B882" s="48"/>
    </row>
    <row r="883">
      <c r="B883" s="48"/>
    </row>
    <row r="884">
      <c r="B884" s="48"/>
    </row>
    <row r="885">
      <c r="B885" s="48"/>
    </row>
    <row r="886">
      <c r="B886" s="48"/>
    </row>
    <row r="887">
      <c r="B887" s="48"/>
    </row>
    <row r="888">
      <c r="B888" s="48"/>
    </row>
    <row r="889">
      <c r="B889" s="48"/>
    </row>
    <row r="890">
      <c r="B890" s="48"/>
    </row>
    <row r="891">
      <c r="B891" s="48"/>
    </row>
    <row r="892">
      <c r="B892" s="48"/>
    </row>
    <row r="893">
      <c r="B893" s="48"/>
    </row>
    <row r="894">
      <c r="B894" s="48"/>
    </row>
    <row r="895">
      <c r="B895" s="48"/>
    </row>
    <row r="896">
      <c r="B896" s="48"/>
    </row>
    <row r="897">
      <c r="B897" s="48"/>
    </row>
    <row r="898">
      <c r="B898" s="48"/>
    </row>
    <row r="899">
      <c r="B899" s="48"/>
    </row>
    <row r="900">
      <c r="B900" s="48"/>
    </row>
    <row r="901">
      <c r="B901" s="48"/>
    </row>
    <row r="902">
      <c r="B902" s="48"/>
    </row>
    <row r="903">
      <c r="B903" s="48"/>
    </row>
    <row r="904">
      <c r="B904" s="48"/>
    </row>
    <row r="905">
      <c r="B905" s="48"/>
    </row>
    <row r="906">
      <c r="B906" s="48"/>
    </row>
    <row r="907">
      <c r="B907" s="48"/>
    </row>
    <row r="908">
      <c r="B908" s="48"/>
    </row>
    <row r="909">
      <c r="B909" s="48"/>
    </row>
    <row r="910">
      <c r="B910" s="48"/>
    </row>
    <row r="911">
      <c r="B911" s="48"/>
    </row>
    <row r="912">
      <c r="B912" s="48"/>
    </row>
    <row r="913">
      <c r="B913" s="48"/>
    </row>
    <row r="914">
      <c r="B914" s="48"/>
    </row>
    <row r="915">
      <c r="B915" s="48"/>
    </row>
    <row r="916">
      <c r="B916" s="48"/>
    </row>
    <row r="917">
      <c r="B917" s="48"/>
    </row>
    <row r="918">
      <c r="B918" s="48"/>
    </row>
    <row r="919">
      <c r="B919" s="48"/>
    </row>
    <row r="920">
      <c r="B920" s="48"/>
    </row>
    <row r="921">
      <c r="B921" s="48"/>
    </row>
    <row r="922">
      <c r="B922" s="48"/>
    </row>
    <row r="923">
      <c r="B923" s="48"/>
    </row>
    <row r="924">
      <c r="B924" s="48"/>
    </row>
    <row r="925">
      <c r="B925" s="48"/>
    </row>
    <row r="926">
      <c r="B926" s="48"/>
    </row>
    <row r="927">
      <c r="B927" s="48"/>
    </row>
    <row r="928">
      <c r="B928" s="48"/>
    </row>
    <row r="929">
      <c r="B929" s="48"/>
    </row>
    <row r="930">
      <c r="B930" s="48"/>
    </row>
    <row r="931">
      <c r="B931" s="48"/>
    </row>
    <row r="932">
      <c r="B932" s="48"/>
    </row>
    <row r="933">
      <c r="B933" s="48"/>
    </row>
    <row r="934">
      <c r="B934" s="48"/>
    </row>
    <row r="935">
      <c r="B935" s="48"/>
    </row>
    <row r="936">
      <c r="B936" s="48"/>
    </row>
    <row r="937">
      <c r="B937" s="48"/>
    </row>
    <row r="938">
      <c r="B938" s="48"/>
    </row>
    <row r="939">
      <c r="B939" s="48"/>
    </row>
    <row r="940">
      <c r="B940" s="48"/>
    </row>
    <row r="941">
      <c r="B941" s="48"/>
    </row>
    <row r="942">
      <c r="B942" s="48"/>
    </row>
    <row r="943">
      <c r="B943" s="48"/>
    </row>
    <row r="944">
      <c r="B944" s="48"/>
    </row>
    <row r="945">
      <c r="B945" s="48"/>
    </row>
    <row r="946">
      <c r="B946" s="48"/>
    </row>
    <row r="947">
      <c r="B947" s="48"/>
    </row>
    <row r="948">
      <c r="B948" s="48"/>
    </row>
    <row r="949">
      <c r="B949" s="48"/>
    </row>
    <row r="950">
      <c r="B950" s="48"/>
    </row>
    <row r="951">
      <c r="B951" s="48"/>
    </row>
    <row r="952">
      <c r="B952" s="48"/>
    </row>
    <row r="953">
      <c r="B953" s="48"/>
    </row>
    <row r="954">
      <c r="B954" s="48"/>
    </row>
    <row r="955">
      <c r="B955" s="48"/>
    </row>
    <row r="956">
      <c r="B956" s="48"/>
    </row>
    <row r="957">
      <c r="B957" s="48"/>
    </row>
    <row r="958">
      <c r="B958" s="48"/>
    </row>
    <row r="959">
      <c r="B959" s="48"/>
    </row>
    <row r="960">
      <c r="B960" s="48"/>
    </row>
    <row r="961">
      <c r="B961" s="48"/>
    </row>
    <row r="962">
      <c r="B962" s="48"/>
    </row>
    <row r="963">
      <c r="B963" s="48"/>
    </row>
    <row r="964">
      <c r="B964" s="48"/>
    </row>
    <row r="965">
      <c r="B965" s="48"/>
    </row>
    <row r="966">
      <c r="B966" s="48"/>
    </row>
    <row r="967">
      <c r="B967" s="48"/>
    </row>
    <row r="968">
      <c r="B968" s="48"/>
    </row>
    <row r="969">
      <c r="B969" s="48"/>
    </row>
    <row r="970">
      <c r="B970" s="48"/>
    </row>
    <row r="971">
      <c r="B971" s="48"/>
    </row>
    <row r="972">
      <c r="B972" s="48"/>
    </row>
    <row r="973">
      <c r="B973" s="48"/>
    </row>
    <row r="974">
      <c r="B974" s="48"/>
    </row>
    <row r="975">
      <c r="B975" s="48"/>
    </row>
    <row r="976">
      <c r="B976" s="48"/>
    </row>
    <row r="977">
      <c r="B977" s="48"/>
    </row>
    <row r="978">
      <c r="B978" s="48"/>
    </row>
    <row r="979">
      <c r="B979" s="48"/>
    </row>
    <row r="980">
      <c r="B980" s="48"/>
    </row>
    <row r="981">
      <c r="B981" s="48"/>
    </row>
    <row r="982">
      <c r="B982" s="48"/>
    </row>
    <row r="983">
      <c r="B983" s="48"/>
    </row>
    <row r="984">
      <c r="B984" s="48"/>
    </row>
    <row r="985">
      <c r="B985" s="48"/>
    </row>
    <row r="986">
      <c r="B986" s="48"/>
    </row>
    <row r="987">
      <c r="B987" s="48"/>
    </row>
    <row r="988">
      <c r="B988" s="48"/>
    </row>
    <row r="989">
      <c r="B989" s="48"/>
    </row>
    <row r="990">
      <c r="B990" s="48"/>
    </row>
    <row r="991">
      <c r="B991" s="48"/>
    </row>
    <row r="992">
      <c r="B992" s="48"/>
    </row>
    <row r="993">
      <c r="B993" s="48"/>
    </row>
    <row r="994">
      <c r="B994" s="48"/>
    </row>
    <row r="995">
      <c r="B995" s="48"/>
    </row>
    <row r="996">
      <c r="B996" s="48"/>
    </row>
    <row r="997">
      <c r="B997" s="48"/>
    </row>
    <row r="998">
      <c r="B998" s="48"/>
    </row>
    <row r="999">
      <c r="B999" s="48"/>
    </row>
    <row r="1000">
      <c r="B1000" s="48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13"/>
    <col customWidth="1" min="3" max="3" width="15.25"/>
  </cols>
  <sheetData>
    <row r="1">
      <c r="A1" s="57" t="s">
        <v>949</v>
      </c>
      <c r="B1" s="57" t="s">
        <v>950</v>
      </c>
      <c r="C1" s="57" t="s">
        <v>951</v>
      </c>
      <c r="D1" s="366" t="s">
        <v>952</v>
      </c>
      <c r="E1" s="366" t="s">
        <v>953</v>
      </c>
      <c r="F1" s="58">
        <v>44378.0</v>
      </c>
      <c r="G1" s="58">
        <v>44392.0</v>
      </c>
      <c r="H1" s="58">
        <v>44409.0</v>
      </c>
      <c r="I1" s="58">
        <v>44423.0</v>
      </c>
      <c r="J1" s="58">
        <v>44440.0</v>
      </c>
      <c r="K1" s="58">
        <v>44454.0</v>
      </c>
      <c r="L1" s="58">
        <v>44470.0</v>
      </c>
      <c r="M1" s="58">
        <v>44484.0</v>
      </c>
      <c r="N1" s="58">
        <v>44501.0</v>
      </c>
      <c r="O1" s="58">
        <v>44515.0</v>
      </c>
      <c r="P1" s="58">
        <v>44531.0</v>
      </c>
      <c r="Q1" s="58">
        <v>44545.0</v>
      </c>
      <c r="R1" s="58">
        <v>44562.0</v>
      </c>
      <c r="S1" s="58">
        <v>44576.0</v>
      </c>
      <c r="T1" s="58">
        <v>44593.0</v>
      </c>
      <c r="U1" s="58">
        <v>44607.0</v>
      </c>
      <c r="V1" s="58">
        <v>44621.0</v>
      </c>
      <c r="W1" s="58">
        <v>44635.0</v>
      </c>
      <c r="X1" s="58">
        <v>44652.0</v>
      </c>
      <c r="Y1" s="58">
        <v>44666.0</v>
      </c>
      <c r="Z1" s="58">
        <v>44682.0</v>
      </c>
      <c r="AA1" s="58">
        <v>44696.0</v>
      </c>
      <c r="AB1" s="58">
        <v>44713.0</v>
      </c>
      <c r="AC1" s="58">
        <v>44727.0</v>
      </c>
    </row>
    <row r="2">
      <c r="A2" s="41" t="str">
        <f>VLOOKUP(C2,'YTD Income Statement'!$F:$F,1,false)</f>
        <v>0000-5113</v>
      </c>
      <c r="B2" s="41" t="s">
        <v>954</v>
      </c>
      <c r="C2" s="41" t="s">
        <v>47</v>
      </c>
      <c r="D2" s="386" t="s">
        <v>36</v>
      </c>
      <c r="E2" s="386">
        <v>262269.0</v>
      </c>
      <c r="F2" s="386">
        <v>0.0</v>
      </c>
      <c r="G2" s="386">
        <v>21855.75</v>
      </c>
      <c r="H2" s="386">
        <v>0.0</v>
      </c>
      <c r="I2" s="386">
        <v>21855.75</v>
      </c>
      <c r="J2" s="386">
        <v>0.0</v>
      </c>
      <c r="K2" s="386">
        <v>21855.75</v>
      </c>
      <c r="L2" s="386">
        <v>0.0</v>
      </c>
      <c r="M2" s="386">
        <v>21855.75</v>
      </c>
      <c r="N2" s="386">
        <v>0.0</v>
      </c>
      <c r="O2" s="386">
        <v>21855.75</v>
      </c>
      <c r="P2" s="386">
        <v>0.0</v>
      </c>
      <c r="Q2" s="386">
        <v>21855.75</v>
      </c>
      <c r="R2" s="386">
        <v>0.0</v>
      </c>
      <c r="S2" s="386">
        <v>21855.75</v>
      </c>
      <c r="T2" s="386">
        <v>0.0</v>
      </c>
      <c r="U2" s="386">
        <v>21855.75</v>
      </c>
      <c r="V2" s="386">
        <v>0.0</v>
      </c>
      <c r="W2" s="386">
        <v>21855.75</v>
      </c>
      <c r="X2" s="386">
        <v>0.0</v>
      </c>
      <c r="Y2" s="386">
        <v>21855.75</v>
      </c>
      <c r="Z2" s="386">
        <v>0.0</v>
      </c>
      <c r="AA2" s="386">
        <v>21855.75</v>
      </c>
      <c r="AB2" s="386">
        <v>0.0</v>
      </c>
      <c r="AC2" s="386">
        <v>21855.75</v>
      </c>
    </row>
    <row r="3">
      <c r="A3" s="41" t="str">
        <f>VLOOKUP(C3,'YTD Income Statement'!$F:$F,1,false)</f>
        <v>0000-5151</v>
      </c>
      <c r="B3" s="41" t="s">
        <v>954</v>
      </c>
      <c r="C3" s="41" t="s">
        <v>48</v>
      </c>
      <c r="D3" s="386" t="s">
        <v>36</v>
      </c>
      <c r="E3" s="386">
        <v>8519.0</v>
      </c>
      <c r="F3" s="386">
        <v>0.0</v>
      </c>
      <c r="G3" s="386">
        <v>709.92</v>
      </c>
      <c r="H3" s="386">
        <v>0.0</v>
      </c>
      <c r="I3" s="386">
        <v>709.92</v>
      </c>
      <c r="J3" s="386">
        <v>0.0</v>
      </c>
      <c r="K3" s="386">
        <v>709.92</v>
      </c>
      <c r="L3" s="386">
        <v>0.0</v>
      </c>
      <c r="M3" s="386">
        <v>709.92</v>
      </c>
      <c r="N3" s="386">
        <v>0.0</v>
      </c>
      <c r="O3" s="386">
        <v>709.92</v>
      </c>
      <c r="P3" s="386">
        <v>0.0</v>
      </c>
      <c r="Q3" s="386">
        <v>709.92</v>
      </c>
      <c r="R3" s="386">
        <v>0.0</v>
      </c>
      <c r="S3" s="386">
        <v>709.92</v>
      </c>
      <c r="T3" s="386">
        <v>0.0</v>
      </c>
      <c r="U3" s="386">
        <v>709.92</v>
      </c>
      <c r="V3" s="386">
        <v>0.0</v>
      </c>
      <c r="W3" s="386">
        <v>709.92</v>
      </c>
      <c r="X3" s="386">
        <v>0.0</v>
      </c>
      <c r="Y3" s="386">
        <v>709.92</v>
      </c>
      <c r="Z3" s="386">
        <v>0.0</v>
      </c>
      <c r="AA3" s="386">
        <v>709.92</v>
      </c>
      <c r="AB3" s="386">
        <v>0.0</v>
      </c>
      <c r="AC3" s="386">
        <v>709.92</v>
      </c>
    </row>
    <row r="4">
      <c r="A4" s="41" t="str">
        <f>VLOOKUP(C4,'YTD Income Statement'!$F:$F,1,false)</f>
        <v>0000-5171</v>
      </c>
      <c r="B4" s="41" t="s">
        <v>954</v>
      </c>
      <c r="C4" s="41" t="s">
        <v>49</v>
      </c>
      <c r="D4" s="386" t="s">
        <v>36</v>
      </c>
      <c r="E4" s="386">
        <v>6850.0</v>
      </c>
      <c r="F4" s="386">
        <v>0.0</v>
      </c>
      <c r="G4" s="386">
        <v>570.83</v>
      </c>
      <c r="H4" s="386">
        <v>0.0</v>
      </c>
      <c r="I4" s="386">
        <v>570.83</v>
      </c>
      <c r="J4" s="386">
        <v>0.0</v>
      </c>
      <c r="K4" s="386">
        <v>570.83</v>
      </c>
      <c r="L4" s="386">
        <v>0.0</v>
      </c>
      <c r="M4" s="386">
        <v>570.83</v>
      </c>
      <c r="N4" s="386">
        <v>0.0</v>
      </c>
      <c r="O4" s="386">
        <v>570.83</v>
      </c>
      <c r="P4" s="386">
        <v>0.0</v>
      </c>
      <c r="Q4" s="386">
        <v>570.83</v>
      </c>
      <c r="R4" s="386">
        <v>0.0</v>
      </c>
      <c r="S4" s="386">
        <v>570.83</v>
      </c>
      <c r="T4" s="386">
        <v>0.0</v>
      </c>
      <c r="U4" s="386">
        <v>570.83</v>
      </c>
      <c r="V4" s="386">
        <v>0.0</v>
      </c>
      <c r="W4" s="386">
        <v>570.83</v>
      </c>
      <c r="X4" s="386">
        <v>0.0</v>
      </c>
      <c r="Y4" s="386">
        <v>570.83</v>
      </c>
      <c r="Z4" s="386">
        <v>0.0</v>
      </c>
      <c r="AA4" s="386">
        <v>570.83</v>
      </c>
      <c r="AB4" s="386">
        <v>0.0</v>
      </c>
      <c r="AC4" s="386">
        <v>570.83</v>
      </c>
    </row>
    <row r="5">
      <c r="A5" s="41" t="str">
        <f>VLOOKUP(C5,'YTD Income Statement'!$F:$F,1,false)</f>
        <v>0000-5192</v>
      </c>
      <c r="B5" s="41" t="s">
        <v>954</v>
      </c>
      <c r="C5" s="41" t="s">
        <v>50</v>
      </c>
      <c r="D5" s="386" t="s">
        <v>36</v>
      </c>
      <c r="E5" s="386">
        <v>425500.0</v>
      </c>
      <c r="F5" s="386">
        <v>0.0</v>
      </c>
      <c r="G5" s="386">
        <v>35458.33</v>
      </c>
      <c r="H5" s="386">
        <v>0.0</v>
      </c>
      <c r="I5" s="386">
        <v>35458.33</v>
      </c>
      <c r="J5" s="386">
        <v>0.0</v>
      </c>
      <c r="K5" s="386">
        <v>35458.33</v>
      </c>
      <c r="L5" s="386">
        <v>0.0</v>
      </c>
      <c r="M5" s="386">
        <v>35458.33</v>
      </c>
      <c r="N5" s="386">
        <v>0.0</v>
      </c>
      <c r="O5" s="386">
        <v>35458.33</v>
      </c>
      <c r="P5" s="386">
        <v>0.0</v>
      </c>
      <c r="Q5" s="386">
        <v>35458.33</v>
      </c>
      <c r="R5" s="386">
        <v>0.0</v>
      </c>
      <c r="S5" s="386">
        <v>35458.33</v>
      </c>
      <c r="T5" s="386">
        <v>0.0</v>
      </c>
      <c r="U5" s="386">
        <v>35458.33</v>
      </c>
      <c r="V5" s="386">
        <v>0.0</v>
      </c>
      <c r="W5" s="386">
        <v>35458.33</v>
      </c>
      <c r="X5" s="386">
        <v>0.0</v>
      </c>
      <c r="Y5" s="386">
        <v>35458.33</v>
      </c>
      <c r="Z5" s="386">
        <v>0.0</v>
      </c>
      <c r="AA5" s="386">
        <v>35458.33</v>
      </c>
      <c r="AB5" s="386">
        <v>0.0</v>
      </c>
      <c r="AC5" s="386">
        <v>35458.33</v>
      </c>
    </row>
    <row r="6">
      <c r="A6" s="41" t="str">
        <f>VLOOKUP(C6,'YTD Income Statement'!$F:$F,1,false)</f>
        <v>0000-5198</v>
      </c>
      <c r="B6" s="41" t="s">
        <v>954</v>
      </c>
      <c r="C6" s="41" t="s">
        <v>51</v>
      </c>
      <c r="D6" s="386" t="s">
        <v>36</v>
      </c>
      <c r="E6" s="386">
        <v>6941.0</v>
      </c>
      <c r="F6" s="386">
        <v>0.0</v>
      </c>
      <c r="G6" s="386">
        <v>578.42</v>
      </c>
      <c r="H6" s="386">
        <v>0.0</v>
      </c>
      <c r="I6" s="386">
        <v>578.42</v>
      </c>
      <c r="J6" s="386">
        <v>0.0</v>
      </c>
      <c r="K6" s="386">
        <v>578.42</v>
      </c>
      <c r="L6" s="386">
        <v>0.0</v>
      </c>
      <c r="M6" s="386">
        <v>578.42</v>
      </c>
      <c r="N6" s="386">
        <v>0.0</v>
      </c>
      <c r="O6" s="386">
        <v>578.42</v>
      </c>
      <c r="P6" s="386">
        <v>0.0</v>
      </c>
      <c r="Q6" s="386">
        <v>578.42</v>
      </c>
      <c r="R6" s="386">
        <v>0.0</v>
      </c>
      <c r="S6" s="386">
        <v>578.42</v>
      </c>
      <c r="T6" s="386">
        <v>0.0</v>
      </c>
      <c r="U6" s="386">
        <v>578.42</v>
      </c>
      <c r="V6" s="386">
        <v>0.0</v>
      </c>
      <c r="W6" s="386">
        <v>578.42</v>
      </c>
      <c r="X6" s="386">
        <v>0.0</v>
      </c>
      <c r="Y6" s="386">
        <v>578.42</v>
      </c>
      <c r="Z6" s="386">
        <v>0.0</v>
      </c>
      <c r="AA6" s="386">
        <v>578.42</v>
      </c>
      <c r="AB6" s="386">
        <v>0.0</v>
      </c>
      <c r="AC6" s="386">
        <v>578.42</v>
      </c>
    </row>
    <row r="7">
      <c r="A7" s="41" t="str">
        <f>VLOOKUP(C7,'YTD Income Statement'!$F:$F,1,false)</f>
        <v>0000-5311</v>
      </c>
      <c r="B7" s="41" t="s">
        <v>955</v>
      </c>
      <c r="C7" s="41" t="s">
        <v>52</v>
      </c>
      <c r="D7" s="386" t="s">
        <v>36</v>
      </c>
      <c r="E7" s="386">
        <v>4161156.0</v>
      </c>
      <c r="F7" s="386">
        <v>0.0</v>
      </c>
      <c r="G7" s="386">
        <v>346763.0</v>
      </c>
      <c r="H7" s="386">
        <v>0.0</v>
      </c>
      <c r="I7" s="386">
        <v>346763.0</v>
      </c>
      <c r="J7" s="386">
        <v>0.0</v>
      </c>
      <c r="K7" s="386">
        <v>346763.0</v>
      </c>
      <c r="L7" s="386">
        <v>0.0</v>
      </c>
      <c r="M7" s="386">
        <v>346763.0</v>
      </c>
      <c r="N7" s="386">
        <v>0.0</v>
      </c>
      <c r="O7" s="386">
        <v>346763.0</v>
      </c>
      <c r="P7" s="386">
        <v>0.0</v>
      </c>
      <c r="Q7" s="386">
        <v>346763.0</v>
      </c>
      <c r="R7" s="386">
        <v>0.0</v>
      </c>
      <c r="S7" s="386">
        <v>346763.0</v>
      </c>
      <c r="T7" s="386">
        <v>0.0</v>
      </c>
      <c r="U7" s="386">
        <v>346763.0</v>
      </c>
      <c r="V7" s="386">
        <v>0.0</v>
      </c>
      <c r="W7" s="386">
        <v>346763.0</v>
      </c>
      <c r="X7" s="386">
        <v>0.0</v>
      </c>
      <c r="Y7" s="386">
        <v>346763.0</v>
      </c>
      <c r="Z7" s="386">
        <v>0.0</v>
      </c>
      <c r="AA7" s="386">
        <v>346763.0</v>
      </c>
      <c r="AB7" s="386">
        <v>0.0</v>
      </c>
      <c r="AC7" s="386">
        <v>346763.0</v>
      </c>
    </row>
    <row r="8">
      <c r="A8" s="41" t="str">
        <f>VLOOKUP(C8,'YTD Income Statement'!$F:$F,1,false)</f>
        <v>0000-5319</v>
      </c>
      <c r="B8" s="41" t="s">
        <v>955</v>
      </c>
      <c r="C8" s="41" t="s">
        <v>53</v>
      </c>
      <c r="D8" s="386" t="s">
        <v>36</v>
      </c>
      <c r="E8" s="386">
        <v>81299.0</v>
      </c>
      <c r="F8" s="386">
        <v>0.0</v>
      </c>
      <c r="G8" s="386">
        <v>6774.92</v>
      </c>
      <c r="H8" s="386">
        <v>0.0</v>
      </c>
      <c r="I8" s="386">
        <v>6774.92</v>
      </c>
      <c r="J8" s="386">
        <v>0.0</v>
      </c>
      <c r="K8" s="386">
        <v>6774.92</v>
      </c>
      <c r="L8" s="386">
        <v>0.0</v>
      </c>
      <c r="M8" s="386">
        <v>6774.92</v>
      </c>
      <c r="N8" s="386">
        <v>0.0</v>
      </c>
      <c r="O8" s="386">
        <v>6774.92</v>
      </c>
      <c r="P8" s="386">
        <v>0.0</v>
      </c>
      <c r="Q8" s="386">
        <v>6774.92</v>
      </c>
      <c r="R8" s="386">
        <v>0.0</v>
      </c>
      <c r="S8" s="386">
        <v>6774.92</v>
      </c>
      <c r="T8" s="386">
        <v>0.0</v>
      </c>
      <c r="U8" s="386">
        <v>6774.92</v>
      </c>
      <c r="V8" s="386">
        <v>0.0</v>
      </c>
      <c r="W8" s="386">
        <v>6774.92</v>
      </c>
      <c r="X8" s="386">
        <v>0.0</v>
      </c>
      <c r="Y8" s="386">
        <v>6774.92</v>
      </c>
      <c r="Z8" s="386">
        <v>0.0</v>
      </c>
      <c r="AA8" s="386">
        <v>6774.92</v>
      </c>
      <c r="AB8" s="386">
        <v>0.0</v>
      </c>
      <c r="AC8" s="386">
        <v>6774.92</v>
      </c>
    </row>
    <row r="9">
      <c r="A9" s="41" t="str">
        <f>VLOOKUP(C9,'YTD Income Statement'!$F:$F,1,false)</f>
        <v>0000-5412</v>
      </c>
      <c r="B9" s="41" t="s">
        <v>956</v>
      </c>
      <c r="C9" s="41" t="s">
        <v>54</v>
      </c>
      <c r="D9" s="386" t="s">
        <v>36</v>
      </c>
      <c r="E9" s="386">
        <v>59587.71</v>
      </c>
      <c r="F9" s="386">
        <v>0.0</v>
      </c>
      <c r="G9" s="386">
        <v>4965.64</v>
      </c>
      <c r="H9" s="386">
        <v>0.0</v>
      </c>
      <c r="I9" s="386">
        <v>4965.64</v>
      </c>
      <c r="J9" s="386">
        <v>0.0</v>
      </c>
      <c r="K9" s="386">
        <v>4965.64</v>
      </c>
      <c r="L9" s="386">
        <v>0.0</v>
      </c>
      <c r="M9" s="386">
        <v>4965.64</v>
      </c>
      <c r="N9" s="386">
        <v>0.0</v>
      </c>
      <c r="O9" s="386">
        <v>4965.64</v>
      </c>
      <c r="P9" s="386">
        <v>0.0</v>
      </c>
      <c r="Q9" s="386">
        <v>4965.64</v>
      </c>
      <c r="R9" s="386">
        <v>0.0</v>
      </c>
      <c r="S9" s="386">
        <v>4965.64</v>
      </c>
      <c r="T9" s="386">
        <v>0.0</v>
      </c>
      <c r="U9" s="386">
        <v>4965.64</v>
      </c>
      <c r="V9" s="386">
        <v>0.0</v>
      </c>
      <c r="W9" s="386">
        <v>4965.64</v>
      </c>
      <c r="X9" s="386">
        <v>0.0</v>
      </c>
      <c r="Y9" s="386">
        <v>4965.64</v>
      </c>
      <c r="Z9" s="386">
        <v>0.0</v>
      </c>
      <c r="AA9" s="386">
        <v>4965.64</v>
      </c>
      <c r="AB9" s="386">
        <v>0.0</v>
      </c>
      <c r="AC9" s="386">
        <v>4965.64</v>
      </c>
    </row>
    <row r="10">
      <c r="A10" s="41" t="str">
        <f>VLOOKUP(C10,'YTD Income Statement'!$F:$F,1,false)</f>
        <v>0000-5422</v>
      </c>
      <c r="B10" s="41" t="s">
        <v>956</v>
      </c>
      <c r="C10" s="41" t="s">
        <v>957</v>
      </c>
      <c r="D10" s="386" t="s">
        <v>36</v>
      </c>
      <c r="E10" s="386">
        <v>1951884.0</v>
      </c>
      <c r="F10" s="386">
        <v>0.0</v>
      </c>
      <c r="G10" s="386">
        <v>0.0</v>
      </c>
      <c r="H10" s="386">
        <v>0.0</v>
      </c>
      <c r="I10" s="386">
        <v>0.0</v>
      </c>
      <c r="J10" s="386">
        <v>0.0</v>
      </c>
      <c r="K10" s="386">
        <v>0.0</v>
      </c>
      <c r="L10" s="386">
        <v>0.0</v>
      </c>
      <c r="M10" s="386">
        <v>0.0</v>
      </c>
      <c r="N10" s="386">
        <v>0.0</v>
      </c>
      <c r="O10" s="386">
        <v>0.0</v>
      </c>
      <c r="P10" s="386">
        <v>0.0</v>
      </c>
      <c r="Q10" s="386">
        <v>0.0</v>
      </c>
      <c r="R10" s="386">
        <v>0.0</v>
      </c>
      <c r="S10" s="386">
        <v>0.0</v>
      </c>
      <c r="T10" s="386">
        <v>0.0</v>
      </c>
      <c r="U10" s="386">
        <v>0.0</v>
      </c>
      <c r="V10" s="386">
        <v>0.0</v>
      </c>
      <c r="W10" s="386">
        <v>0.0</v>
      </c>
      <c r="X10" s="386">
        <v>0.0</v>
      </c>
      <c r="Y10" s="386">
        <v>0.0</v>
      </c>
      <c r="Z10" s="386">
        <v>1388000.0</v>
      </c>
      <c r="AA10" s="386">
        <v>0.0</v>
      </c>
      <c r="AB10" s="386">
        <v>0.0</v>
      </c>
      <c r="AC10" s="386">
        <v>563884.0</v>
      </c>
    </row>
    <row r="11">
      <c r="A11" s="41" t="str">
        <f>VLOOKUP(C11,'YTD Income Statement'!$F:$F,1,false)</f>
        <v>0000-5441</v>
      </c>
      <c r="B11" s="41" t="s">
        <v>956</v>
      </c>
      <c r="C11" s="41" t="s">
        <v>56</v>
      </c>
      <c r="D11" s="386" t="s">
        <v>36</v>
      </c>
      <c r="E11" s="386">
        <v>70000.0</v>
      </c>
      <c r="F11" s="386">
        <v>0.0</v>
      </c>
      <c r="G11" s="386">
        <v>0.0</v>
      </c>
      <c r="H11" s="386">
        <v>0.0</v>
      </c>
      <c r="I11" s="386">
        <v>0.0</v>
      </c>
      <c r="J11" s="386">
        <v>0.0</v>
      </c>
      <c r="K11" s="386">
        <v>0.0</v>
      </c>
      <c r="L11" s="386">
        <v>0.0</v>
      </c>
      <c r="M11" s="386">
        <v>0.0</v>
      </c>
      <c r="N11" s="386">
        <v>0.0</v>
      </c>
      <c r="O11" s="386">
        <v>0.0</v>
      </c>
      <c r="P11" s="386">
        <v>0.0</v>
      </c>
      <c r="Q11" s="386">
        <v>0.0</v>
      </c>
      <c r="R11" s="386">
        <v>0.0</v>
      </c>
      <c r="S11" s="386">
        <v>0.0</v>
      </c>
      <c r="T11" s="386">
        <v>0.0</v>
      </c>
      <c r="U11" s="386">
        <v>70000.0</v>
      </c>
      <c r="V11" s="386">
        <v>0.0</v>
      </c>
      <c r="W11" s="386">
        <v>0.0</v>
      </c>
      <c r="X11" s="386">
        <v>0.0</v>
      </c>
      <c r="Y11" s="386">
        <v>0.0</v>
      </c>
      <c r="Z11" s="386">
        <v>0.0</v>
      </c>
      <c r="AA11" s="386">
        <v>0.0</v>
      </c>
      <c r="AB11" s="386">
        <v>0.0</v>
      </c>
      <c r="AC11" s="386">
        <v>0.0</v>
      </c>
    </row>
    <row r="12">
      <c r="A12" s="41" t="str">
        <f>VLOOKUP(C12,'YTD Income Statement'!$F:$F,1,false)</f>
        <v>0000-5445</v>
      </c>
      <c r="B12" s="41" t="s">
        <v>956</v>
      </c>
      <c r="C12" s="41" t="s">
        <v>57</v>
      </c>
      <c r="D12" s="386" t="s">
        <v>36</v>
      </c>
      <c r="E12" s="386">
        <v>86286.26</v>
      </c>
      <c r="F12" s="386">
        <v>0.0</v>
      </c>
      <c r="G12" s="386">
        <v>7190.52</v>
      </c>
      <c r="H12" s="386">
        <v>0.0</v>
      </c>
      <c r="I12" s="386">
        <v>7190.52</v>
      </c>
      <c r="J12" s="386">
        <v>0.0</v>
      </c>
      <c r="K12" s="386">
        <v>7190.52</v>
      </c>
      <c r="L12" s="386">
        <v>0.0</v>
      </c>
      <c r="M12" s="386">
        <v>7190.52</v>
      </c>
      <c r="N12" s="386">
        <v>0.0</v>
      </c>
      <c r="O12" s="386">
        <v>7190.52</v>
      </c>
      <c r="P12" s="386">
        <v>0.0</v>
      </c>
      <c r="Q12" s="386">
        <v>7190.52</v>
      </c>
      <c r="R12" s="386">
        <v>0.0</v>
      </c>
      <c r="S12" s="386">
        <v>7190.52</v>
      </c>
      <c r="T12" s="386">
        <v>0.0</v>
      </c>
      <c r="U12" s="386">
        <v>7190.52</v>
      </c>
      <c r="V12" s="386">
        <v>0.0</v>
      </c>
      <c r="W12" s="386">
        <v>7190.52</v>
      </c>
      <c r="X12" s="386">
        <v>0.0</v>
      </c>
      <c r="Y12" s="386">
        <v>7190.52</v>
      </c>
      <c r="Z12" s="386">
        <v>0.0</v>
      </c>
      <c r="AA12" s="386">
        <v>7190.52</v>
      </c>
      <c r="AB12" s="386">
        <v>0.0</v>
      </c>
      <c r="AC12" s="386">
        <v>7190.52</v>
      </c>
    </row>
    <row r="13">
      <c r="A13" s="41" t="str">
        <f>VLOOKUP(C13,'YTD Income Statement'!$F:$F,1,false)</f>
        <v>0000-5446</v>
      </c>
      <c r="B13" s="41" t="s">
        <v>956</v>
      </c>
      <c r="C13" s="41" t="s">
        <v>58</v>
      </c>
      <c r="D13" s="386" t="s">
        <v>36</v>
      </c>
      <c r="E13" s="386">
        <v>4570.0</v>
      </c>
      <c r="F13" s="386">
        <v>0.0</v>
      </c>
      <c r="G13" s="386">
        <v>380.83</v>
      </c>
      <c r="H13" s="386">
        <v>0.0</v>
      </c>
      <c r="I13" s="386">
        <v>380.83</v>
      </c>
      <c r="J13" s="386">
        <v>0.0</v>
      </c>
      <c r="K13" s="386">
        <v>380.83</v>
      </c>
      <c r="L13" s="386">
        <v>0.0</v>
      </c>
      <c r="M13" s="386">
        <v>380.83</v>
      </c>
      <c r="N13" s="386">
        <v>0.0</v>
      </c>
      <c r="O13" s="386">
        <v>380.83</v>
      </c>
      <c r="P13" s="386">
        <v>0.0</v>
      </c>
      <c r="Q13" s="386">
        <v>380.83</v>
      </c>
      <c r="R13" s="386">
        <v>0.0</v>
      </c>
      <c r="S13" s="386">
        <v>380.83</v>
      </c>
      <c r="T13" s="386">
        <v>0.0</v>
      </c>
      <c r="U13" s="386">
        <v>380.83</v>
      </c>
      <c r="V13" s="386">
        <v>0.0</v>
      </c>
      <c r="W13" s="386">
        <v>380.83</v>
      </c>
      <c r="X13" s="386">
        <v>0.0</v>
      </c>
      <c r="Y13" s="386">
        <v>380.83</v>
      </c>
      <c r="Z13" s="386">
        <v>0.0</v>
      </c>
      <c r="AA13" s="386">
        <v>380.83</v>
      </c>
      <c r="AB13" s="386">
        <v>0.0</v>
      </c>
      <c r="AC13" s="386">
        <v>380.83</v>
      </c>
    </row>
    <row r="14">
      <c r="A14" s="41" t="str">
        <f>VLOOKUP(C14,'YTD Income Statement'!$F:$F,1,false)</f>
        <v>0000-5451</v>
      </c>
      <c r="B14" s="41" t="s">
        <v>956</v>
      </c>
      <c r="C14" s="41" t="s">
        <v>59</v>
      </c>
      <c r="D14" s="386" t="s">
        <v>36</v>
      </c>
      <c r="E14" s="386">
        <v>194040.01</v>
      </c>
      <c r="F14" s="386">
        <v>0.0</v>
      </c>
      <c r="G14" s="386">
        <v>0.0</v>
      </c>
      <c r="H14" s="386">
        <v>0.0</v>
      </c>
      <c r="I14" s="386">
        <v>0.0</v>
      </c>
      <c r="J14" s="386">
        <v>0.0</v>
      </c>
      <c r="K14" s="386">
        <v>0.0</v>
      </c>
      <c r="L14" s="386">
        <v>0.0</v>
      </c>
      <c r="M14" s="386">
        <v>0.0</v>
      </c>
      <c r="N14" s="386">
        <v>0.0</v>
      </c>
      <c r="O14" s="386">
        <v>0.0</v>
      </c>
      <c r="P14" s="386">
        <v>0.0</v>
      </c>
      <c r="Q14" s="386">
        <v>0.0</v>
      </c>
      <c r="R14" s="386">
        <v>0.0</v>
      </c>
      <c r="S14" s="386">
        <v>0.0</v>
      </c>
      <c r="T14" s="386">
        <v>0.0</v>
      </c>
      <c r="U14" s="386">
        <v>0.0</v>
      </c>
      <c r="V14" s="386">
        <v>0.0</v>
      </c>
      <c r="W14" s="386">
        <v>0.0</v>
      </c>
      <c r="X14" s="386">
        <v>0.0</v>
      </c>
      <c r="Y14" s="386">
        <v>0.0</v>
      </c>
      <c r="Z14" s="386">
        <v>0.0</v>
      </c>
      <c r="AA14" s="386">
        <v>0.0</v>
      </c>
      <c r="AB14" s="386">
        <v>0.0</v>
      </c>
      <c r="AC14" s="386">
        <v>194040.01</v>
      </c>
    </row>
    <row r="15">
      <c r="A15" s="41" t="str">
        <f>VLOOKUP(C15,'YTD Income Statement'!$F:$F,1,false)</f>
        <v>0000-5461</v>
      </c>
      <c r="B15" s="41" t="s">
        <v>956</v>
      </c>
      <c r="C15" s="41" t="s">
        <v>60</v>
      </c>
      <c r="D15" s="386" t="s">
        <v>36</v>
      </c>
      <c r="E15" s="386">
        <v>20000.0</v>
      </c>
      <c r="F15" s="386">
        <v>0.0</v>
      </c>
      <c r="G15" s="386">
        <v>0.0</v>
      </c>
      <c r="H15" s="386">
        <v>0.0</v>
      </c>
      <c r="I15" s="386">
        <v>0.0</v>
      </c>
      <c r="J15" s="386">
        <v>0.0</v>
      </c>
      <c r="K15" s="386">
        <v>0.0</v>
      </c>
      <c r="L15" s="386">
        <v>0.0</v>
      </c>
      <c r="M15" s="386">
        <v>0.0</v>
      </c>
      <c r="N15" s="386">
        <v>0.0</v>
      </c>
      <c r="O15" s="386">
        <v>0.0</v>
      </c>
      <c r="P15" s="386">
        <v>0.0</v>
      </c>
      <c r="Q15" s="386">
        <v>0.0</v>
      </c>
      <c r="R15" s="386">
        <v>0.0</v>
      </c>
      <c r="S15" s="386">
        <v>0.0</v>
      </c>
      <c r="T15" s="386">
        <v>0.0</v>
      </c>
      <c r="U15" s="386">
        <v>0.0</v>
      </c>
      <c r="V15" s="386">
        <v>0.0</v>
      </c>
      <c r="W15" s="386">
        <v>0.0</v>
      </c>
      <c r="X15" s="386">
        <v>0.0</v>
      </c>
      <c r="Y15" s="386">
        <v>0.0</v>
      </c>
      <c r="Z15" s="386">
        <v>0.0</v>
      </c>
      <c r="AA15" s="386">
        <v>0.0</v>
      </c>
      <c r="AB15" s="386">
        <v>0.0</v>
      </c>
      <c r="AC15" s="386">
        <v>20000.0</v>
      </c>
    </row>
    <row r="16">
      <c r="A16" s="41" t="str">
        <f>VLOOKUP(C16,'YTD Income Statement'!$F:$F,1,false)</f>
        <v>0000-5465</v>
      </c>
      <c r="B16" s="41" t="s">
        <v>956</v>
      </c>
      <c r="C16" s="41" t="s">
        <v>61</v>
      </c>
      <c r="D16" s="386" t="s">
        <v>36</v>
      </c>
      <c r="E16" s="386">
        <v>22492.0</v>
      </c>
      <c r="F16" s="386">
        <v>0.0</v>
      </c>
      <c r="G16" s="386">
        <v>0.0</v>
      </c>
      <c r="H16" s="386">
        <v>0.0</v>
      </c>
      <c r="I16" s="386">
        <v>0.0</v>
      </c>
      <c r="J16" s="386">
        <v>0.0</v>
      </c>
      <c r="K16" s="386">
        <v>0.0</v>
      </c>
      <c r="L16" s="386">
        <v>0.0</v>
      </c>
      <c r="M16" s="386">
        <v>0.0</v>
      </c>
      <c r="N16" s="386">
        <v>0.0</v>
      </c>
      <c r="O16" s="386">
        <v>0.0</v>
      </c>
      <c r="P16" s="386">
        <v>0.0</v>
      </c>
      <c r="Q16" s="386">
        <v>0.0</v>
      </c>
      <c r="R16" s="386">
        <v>0.0</v>
      </c>
      <c r="S16" s="386">
        <v>0.0</v>
      </c>
      <c r="T16" s="386">
        <v>0.0</v>
      </c>
      <c r="U16" s="386">
        <v>0.0</v>
      </c>
      <c r="V16" s="386">
        <v>0.0</v>
      </c>
      <c r="W16" s="386">
        <v>0.0</v>
      </c>
      <c r="X16" s="386">
        <v>0.0</v>
      </c>
      <c r="Y16" s="386">
        <v>0.0</v>
      </c>
      <c r="Z16" s="386">
        <v>0.0</v>
      </c>
      <c r="AA16" s="386">
        <v>0.0</v>
      </c>
      <c r="AB16" s="386">
        <v>0.0</v>
      </c>
      <c r="AC16" s="386">
        <v>22492.0</v>
      </c>
    </row>
    <row r="17">
      <c r="A17" s="41" t="str">
        <f>VLOOKUP(C17,'YTD Income Statement'!$F:$F,1,false)</f>
        <v>0000-5497</v>
      </c>
      <c r="B17" s="41" t="s">
        <v>956</v>
      </c>
      <c r="C17" s="41" t="s">
        <v>62</v>
      </c>
      <c r="D17" s="386" t="s">
        <v>36</v>
      </c>
      <c r="E17" s="386">
        <v>752523.0</v>
      </c>
      <c r="F17" s="386">
        <v>0.0</v>
      </c>
      <c r="G17" s="386">
        <v>0.0</v>
      </c>
      <c r="H17" s="386">
        <v>0.0</v>
      </c>
      <c r="I17" s="386">
        <v>0.0</v>
      </c>
      <c r="J17" s="386">
        <v>0.0</v>
      </c>
      <c r="K17" s="386">
        <v>0.0</v>
      </c>
      <c r="L17" s="386">
        <v>0.0</v>
      </c>
      <c r="M17" s="386">
        <v>0.0</v>
      </c>
      <c r="N17" s="386">
        <v>0.0</v>
      </c>
      <c r="O17" s="386">
        <v>0.0</v>
      </c>
      <c r="P17" s="386">
        <v>0.0</v>
      </c>
      <c r="Q17" s="386">
        <v>0.0</v>
      </c>
      <c r="R17" s="386">
        <v>0.0</v>
      </c>
      <c r="S17" s="386">
        <v>0.0</v>
      </c>
      <c r="T17" s="386">
        <v>0.0</v>
      </c>
      <c r="U17" s="386">
        <v>0.0</v>
      </c>
      <c r="V17" s="386">
        <v>0.0</v>
      </c>
      <c r="W17" s="386">
        <v>0.0</v>
      </c>
      <c r="X17" s="386">
        <v>0.0</v>
      </c>
      <c r="Y17" s="386">
        <v>0.0</v>
      </c>
      <c r="Z17" s="386">
        <v>0.0</v>
      </c>
      <c r="AA17" s="386">
        <v>0.0</v>
      </c>
      <c r="AB17" s="386">
        <v>0.0</v>
      </c>
      <c r="AC17" s="386">
        <v>752523.0</v>
      </c>
    </row>
    <row r="18">
      <c r="A18" s="41" t="str">
        <f>VLOOKUP(C18,'YTD Income Statement'!$F:$F,1,false)</f>
        <v>#N/A</v>
      </c>
      <c r="B18" s="41" t="s">
        <v>958</v>
      </c>
      <c r="C18" s="41" t="s">
        <v>63</v>
      </c>
      <c r="D18" s="386" t="s">
        <v>35</v>
      </c>
      <c r="E18" s="386">
        <v>1091607.0</v>
      </c>
      <c r="F18" s="386">
        <v>0.0</v>
      </c>
      <c r="G18" s="386">
        <v>90967.25</v>
      </c>
      <c r="H18" s="386">
        <v>0.0</v>
      </c>
      <c r="I18" s="386">
        <v>90967.25</v>
      </c>
      <c r="J18" s="386">
        <v>0.0</v>
      </c>
      <c r="K18" s="386">
        <v>90967.25</v>
      </c>
      <c r="L18" s="386">
        <v>0.0</v>
      </c>
      <c r="M18" s="386">
        <v>90967.25</v>
      </c>
      <c r="N18" s="386">
        <v>0.0</v>
      </c>
      <c r="O18" s="386">
        <v>90967.25</v>
      </c>
      <c r="P18" s="386">
        <v>0.0</v>
      </c>
      <c r="Q18" s="386">
        <v>90967.25</v>
      </c>
      <c r="R18" s="386">
        <v>0.0</v>
      </c>
      <c r="S18" s="386">
        <v>90967.25</v>
      </c>
      <c r="T18" s="386">
        <v>0.0</v>
      </c>
      <c r="U18" s="386">
        <v>90967.25</v>
      </c>
      <c r="V18" s="386">
        <v>0.0</v>
      </c>
      <c r="W18" s="386">
        <v>90967.25</v>
      </c>
      <c r="X18" s="386">
        <v>0.0</v>
      </c>
      <c r="Y18" s="386">
        <v>90967.25</v>
      </c>
      <c r="Z18" s="386">
        <v>0.0</v>
      </c>
      <c r="AA18" s="386">
        <v>90967.25</v>
      </c>
      <c r="AB18" s="386">
        <v>0.0</v>
      </c>
      <c r="AC18" s="386">
        <v>90967.25</v>
      </c>
    </row>
    <row r="19">
      <c r="A19" s="41" t="str">
        <f>VLOOKUP(C19,'YTD Income Statement'!$F:$F,1,false)</f>
        <v>#N/A</v>
      </c>
      <c r="B19" s="41" t="s">
        <v>959</v>
      </c>
      <c r="C19" s="41" t="s">
        <v>64</v>
      </c>
      <c r="D19" s="386" t="s">
        <v>35</v>
      </c>
      <c r="E19" s="386">
        <v>152827.02</v>
      </c>
      <c r="F19" s="386">
        <v>0.0</v>
      </c>
      <c r="G19" s="386">
        <v>12735.59</v>
      </c>
      <c r="H19" s="386">
        <v>0.0</v>
      </c>
      <c r="I19" s="386">
        <v>12735.59</v>
      </c>
      <c r="J19" s="386">
        <v>0.0</v>
      </c>
      <c r="K19" s="386">
        <v>12735.59</v>
      </c>
      <c r="L19" s="386">
        <v>0.0</v>
      </c>
      <c r="M19" s="386">
        <v>12735.59</v>
      </c>
      <c r="N19" s="386">
        <v>0.0</v>
      </c>
      <c r="O19" s="386">
        <v>12735.59</v>
      </c>
      <c r="P19" s="386">
        <v>0.0</v>
      </c>
      <c r="Q19" s="386">
        <v>12735.59</v>
      </c>
      <c r="R19" s="386">
        <v>0.0</v>
      </c>
      <c r="S19" s="386">
        <v>12735.59</v>
      </c>
      <c r="T19" s="386">
        <v>0.0</v>
      </c>
      <c r="U19" s="386">
        <v>12735.59</v>
      </c>
      <c r="V19" s="386">
        <v>0.0</v>
      </c>
      <c r="W19" s="386">
        <v>12735.59</v>
      </c>
      <c r="X19" s="386">
        <v>0.0</v>
      </c>
      <c r="Y19" s="386">
        <v>12735.59</v>
      </c>
      <c r="Z19" s="386">
        <v>0.0</v>
      </c>
      <c r="AA19" s="386">
        <v>12735.59</v>
      </c>
      <c r="AB19" s="386">
        <v>0.0</v>
      </c>
      <c r="AC19" s="386">
        <v>12735.59</v>
      </c>
    </row>
    <row r="20">
      <c r="A20" s="41" t="str">
        <f>VLOOKUP(C20,'YTD Income Statement'!$F:$F,1,false)</f>
        <v>#N/A</v>
      </c>
      <c r="B20" s="41" t="s">
        <v>959</v>
      </c>
      <c r="C20" s="41" t="s">
        <v>65</v>
      </c>
      <c r="D20" s="386" t="s">
        <v>35</v>
      </c>
      <c r="E20" s="386">
        <v>67679.63</v>
      </c>
      <c r="F20" s="386">
        <v>0.0</v>
      </c>
      <c r="G20" s="386">
        <v>5639.97</v>
      </c>
      <c r="H20" s="386">
        <v>0.0</v>
      </c>
      <c r="I20" s="386">
        <v>5639.97</v>
      </c>
      <c r="J20" s="386">
        <v>0.0</v>
      </c>
      <c r="K20" s="386">
        <v>5639.97</v>
      </c>
      <c r="L20" s="386">
        <v>0.0</v>
      </c>
      <c r="M20" s="386">
        <v>5639.97</v>
      </c>
      <c r="N20" s="386">
        <v>0.0</v>
      </c>
      <c r="O20" s="386">
        <v>5639.97</v>
      </c>
      <c r="P20" s="386">
        <v>0.0</v>
      </c>
      <c r="Q20" s="386">
        <v>5639.97</v>
      </c>
      <c r="R20" s="386">
        <v>0.0</v>
      </c>
      <c r="S20" s="386">
        <v>5639.97</v>
      </c>
      <c r="T20" s="386">
        <v>0.0</v>
      </c>
      <c r="U20" s="386">
        <v>5639.97</v>
      </c>
      <c r="V20" s="386">
        <v>0.0</v>
      </c>
      <c r="W20" s="386">
        <v>5639.97</v>
      </c>
      <c r="X20" s="386">
        <v>0.0</v>
      </c>
      <c r="Y20" s="386">
        <v>5639.97</v>
      </c>
      <c r="Z20" s="386">
        <v>0.0</v>
      </c>
      <c r="AA20" s="386">
        <v>5639.97</v>
      </c>
      <c r="AB20" s="386">
        <v>0.0</v>
      </c>
      <c r="AC20" s="386">
        <v>5639.97</v>
      </c>
    </row>
    <row r="21">
      <c r="A21" s="41" t="str">
        <f>VLOOKUP(C21,'YTD Income Statement'!$F:$F,1,false)</f>
        <v>#N/A</v>
      </c>
      <c r="B21" s="41" t="s">
        <v>959</v>
      </c>
      <c r="C21" s="41" t="s">
        <v>66</v>
      </c>
      <c r="D21" s="386" t="s">
        <v>35</v>
      </c>
      <c r="E21" s="386">
        <v>15828.3</v>
      </c>
      <c r="F21" s="386">
        <v>0.0</v>
      </c>
      <c r="G21" s="386">
        <v>1319.03</v>
      </c>
      <c r="H21" s="386">
        <v>0.0</v>
      </c>
      <c r="I21" s="386">
        <v>1319.03</v>
      </c>
      <c r="J21" s="386">
        <v>0.0</v>
      </c>
      <c r="K21" s="386">
        <v>1319.03</v>
      </c>
      <c r="L21" s="386">
        <v>0.0</v>
      </c>
      <c r="M21" s="386">
        <v>1319.03</v>
      </c>
      <c r="N21" s="386">
        <v>0.0</v>
      </c>
      <c r="O21" s="386">
        <v>1319.03</v>
      </c>
      <c r="P21" s="386">
        <v>0.0</v>
      </c>
      <c r="Q21" s="386">
        <v>1319.03</v>
      </c>
      <c r="R21" s="386">
        <v>0.0</v>
      </c>
      <c r="S21" s="386">
        <v>1319.03</v>
      </c>
      <c r="T21" s="386">
        <v>0.0</v>
      </c>
      <c r="U21" s="386">
        <v>1319.03</v>
      </c>
      <c r="V21" s="386">
        <v>0.0</v>
      </c>
      <c r="W21" s="386">
        <v>1319.03</v>
      </c>
      <c r="X21" s="386">
        <v>0.0</v>
      </c>
      <c r="Y21" s="386">
        <v>1319.03</v>
      </c>
      <c r="Z21" s="386">
        <v>0.0</v>
      </c>
      <c r="AA21" s="386">
        <v>1319.03</v>
      </c>
      <c r="AB21" s="386">
        <v>0.0</v>
      </c>
      <c r="AC21" s="386">
        <v>1319.03</v>
      </c>
    </row>
    <row r="22">
      <c r="A22" s="41" t="str">
        <f>VLOOKUP(C22,'YTD Income Statement'!$F:$F,1,false)</f>
        <v>#N/A</v>
      </c>
      <c r="B22" s="41" t="s">
        <v>959</v>
      </c>
      <c r="C22" s="41" t="s">
        <v>67</v>
      </c>
      <c r="D22" s="386" t="s">
        <v>35</v>
      </c>
      <c r="E22" s="386">
        <v>81000.0</v>
      </c>
      <c r="F22" s="386">
        <v>0.0</v>
      </c>
      <c r="G22" s="386">
        <v>6750.0</v>
      </c>
      <c r="H22" s="386">
        <v>0.0</v>
      </c>
      <c r="I22" s="386">
        <v>6750.0</v>
      </c>
      <c r="J22" s="386">
        <v>0.0</v>
      </c>
      <c r="K22" s="386">
        <v>6750.0</v>
      </c>
      <c r="L22" s="386">
        <v>0.0</v>
      </c>
      <c r="M22" s="386">
        <v>6750.0</v>
      </c>
      <c r="N22" s="386">
        <v>0.0</v>
      </c>
      <c r="O22" s="386">
        <v>6750.0</v>
      </c>
      <c r="P22" s="386">
        <v>0.0</v>
      </c>
      <c r="Q22" s="386">
        <v>6750.0</v>
      </c>
      <c r="R22" s="386">
        <v>0.0</v>
      </c>
      <c r="S22" s="386">
        <v>6750.0</v>
      </c>
      <c r="T22" s="386">
        <v>0.0</v>
      </c>
      <c r="U22" s="386">
        <v>6750.0</v>
      </c>
      <c r="V22" s="386">
        <v>0.0</v>
      </c>
      <c r="W22" s="386">
        <v>6750.0</v>
      </c>
      <c r="X22" s="386">
        <v>0.0</v>
      </c>
      <c r="Y22" s="386">
        <v>6750.0</v>
      </c>
      <c r="Z22" s="386">
        <v>0.0</v>
      </c>
      <c r="AA22" s="386">
        <v>6750.0</v>
      </c>
      <c r="AB22" s="386">
        <v>0.0</v>
      </c>
      <c r="AC22" s="386">
        <v>6750.0</v>
      </c>
    </row>
    <row r="23">
      <c r="A23" s="41" t="str">
        <f>VLOOKUP(C23,'YTD Income Statement'!$F:$F,1,false)</f>
        <v>#N/A</v>
      </c>
      <c r="B23" s="41" t="s">
        <v>960</v>
      </c>
      <c r="C23" s="41" t="s">
        <v>68</v>
      </c>
      <c r="D23" s="386" t="s">
        <v>35</v>
      </c>
      <c r="E23" s="386">
        <v>544550.64</v>
      </c>
      <c r="F23" s="386">
        <v>580.42</v>
      </c>
      <c r="G23" s="386">
        <v>52641.7</v>
      </c>
      <c r="H23" s="386">
        <v>580.42</v>
      </c>
      <c r="I23" s="386">
        <v>51005.0</v>
      </c>
      <c r="J23" s="386">
        <v>580.42</v>
      </c>
      <c r="K23" s="386">
        <v>43166.1</v>
      </c>
      <c r="L23" s="386">
        <v>580.42</v>
      </c>
      <c r="M23" s="386">
        <v>41493.4</v>
      </c>
      <c r="N23" s="386">
        <v>580.42</v>
      </c>
      <c r="O23" s="386">
        <v>41493.4</v>
      </c>
      <c r="P23" s="386">
        <v>580.42</v>
      </c>
      <c r="Q23" s="386">
        <v>56493.4</v>
      </c>
      <c r="R23" s="386">
        <v>580.42</v>
      </c>
      <c r="S23" s="386">
        <v>43825.6</v>
      </c>
      <c r="T23" s="386">
        <v>580.42</v>
      </c>
      <c r="U23" s="386">
        <v>41493.4</v>
      </c>
      <c r="V23" s="386">
        <v>580.42</v>
      </c>
      <c r="W23" s="386">
        <v>41493.4</v>
      </c>
      <c r="X23" s="386">
        <v>580.42</v>
      </c>
      <c r="Y23" s="386">
        <v>41493.4</v>
      </c>
      <c r="Z23" s="386">
        <v>580.42</v>
      </c>
      <c r="AA23" s="386">
        <v>41493.4</v>
      </c>
      <c r="AB23" s="386">
        <v>580.42</v>
      </c>
      <c r="AC23" s="386">
        <v>41493.4</v>
      </c>
    </row>
    <row r="24">
      <c r="A24" s="41" t="str">
        <f>VLOOKUP(C24,'YTD Income Statement'!$F:$F,1,false)</f>
        <v>1131-6411</v>
      </c>
      <c r="B24" s="41" t="s">
        <v>960</v>
      </c>
      <c r="C24" s="41" t="s">
        <v>69</v>
      </c>
      <c r="D24" s="386" t="s">
        <v>35</v>
      </c>
      <c r="E24" s="386">
        <v>30299.48</v>
      </c>
      <c r="F24" s="386">
        <v>908.98</v>
      </c>
      <c r="G24" s="386">
        <v>908.98</v>
      </c>
      <c r="H24" s="386">
        <v>3029.95</v>
      </c>
      <c r="I24" s="386">
        <v>3029.95</v>
      </c>
      <c r="J24" s="386">
        <v>3029.95</v>
      </c>
      <c r="K24" s="386">
        <v>3029.95</v>
      </c>
      <c r="L24" s="386">
        <v>3029.95</v>
      </c>
      <c r="M24" s="386">
        <v>3029.95</v>
      </c>
      <c r="N24" s="386">
        <v>0.0</v>
      </c>
      <c r="O24" s="386">
        <v>0.0</v>
      </c>
      <c r="P24" s="386">
        <v>0.0</v>
      </c>
      <c r="Q24" s="386">
        <v>0.0</v>
      </c>
      <c r="R24" s="386">
        <v>908.98</v>
      </c>
      <c r="S24" s="386">
        <v>908.98</v>
      </c>
      <c r="T24" s="386">
        <v>908.98</v>
      </c>
      <c r="U24" s="386">
        <v>908.98</v>
      </c>
      <c r="V24" s="386">
        <v>908.98</v>
      </c>
      <c r="W24" s="386">
        <v>908.98</v>
      </c>
      <c r="X24" s="386">
        <v>908.98</v>
      </c>
      <c r="Y24" s="386">
        <v>908.98</v>
      </c>
      <c r="Z24" s="386">
        <v>908.98</v>
      </c>
      <c r="AA24" s="386">
        <v>908.98</v>
      </c>
      <c r="AB24" s="386">
        <v>605.99</v>
      </c>
      <c r="AC24" s="386">
        <v>605.99</v>
      </c>
    </row>
    <row r="25">
      <c r="A25" s="41" t="str">
        <f>VLOOKUP(C25,'YTD Income Statement'!$F:$F,1,false)</f>
        <v>1131-6412</v>
      </c>
      <c r="B25" s="41" t="s">
        <v>960</v>
      </c>
      <c r="C25" s="41" t="s">
        <v>70</v>
      </c>
      <c r="D25" s="386" t="s">
        <v>35</v>
      </c>
      <c r="E25" s="386">
        <v>260899.1</v>
      </c>
      <c r="F25" s="386">
        <v>96724.7</v>
      </c>
      <c r="G25" s="386">
        <v>0.0</v>
      </c>
      <c r="H25" s="386">
        <v>14990.0</v>
      </c>
      <c r="I25" s="386">
        <v>0.0</v>
      </c>
      <c r="J25" s="386">
        <v>0.0</v>
      </c>
      <c r="K25" s="386">
        <v>0.0</v>
      </c>
      <c r="L25" s="386">
        <v>0.0</v>
      </c>
      <c r="M25" s="386">
        <v>0.0</v>
      </c>
      <c r="N25" s="386">
        <v>0.0</v>
      </c>
      <c r="O25" s="386">
        <v>0.0</v>
      </c>
      <c r="P25" s="386">
        <v>0.0</v>
      </c>
      <c r="Q25" s="386">
        <v>0.0</v>
      </c>
      <c r="R25" s="386">
        <v>0.0</v>
      </c>
      <c r="S25" s="386">
        <v>0.0</v>
      </c>
      <c r="T25" s="386">
        <v>0.0</v>
      </c>
      <c r="U25" s="386">
        <v>0.0</v>
      </c>
      <c r="V25" s="386">
        <v>0.0</v>
      </c>
      <c r="W25" s="386">
        <v>0.0</v>
      </c>
      <c r="X25" s="386">
        <v>0.0</v>
      </c>
      <c r="Y25" s="386">
        <v>0.0</v>
      </c>
      <c r="Z25" s="386">
        <v>147168.0</v>
      </c>
      <c r="AA25" s="386">
        <v>0.0</v>
      </c>
      <c r="AB25" s="386">
        <v>0.0</v>
      </c>
      <c r="AC25" s="386">
        <v>2016.4</v>
      </c>
    </row>
    <row r="26">
      <c r="A26" s="41" t="str">
        <f>VLOOKUP(C26,'YTD Income Statement'!$F:$F,1,false)</f>
        <v>1131-6431</v>
      </c>
      <c r="B26" s="41" t="s">
        <v>960</v>
      </c>
      <c r="C26" s="41" t="s">
        <v>71</v>
      </c>
      <c r="D26" s="386" t="s">
        <v>35</v>
      </c>
      <c r="E26" s="386">
        <v>9782.3</v>
      </c>
      <c r="F26" s="386">
        <v>0.0</v>
      </c>
      <c r="G26" s="386">
        <v>489.12</v>
      </c>
      <c r="H26" s="386">
        <v>489.12</v>
      </c>
      <c r="I26" s="386">
        <v>489.12</v>
      </c>
      <c r="J26" s="386">
        <v>489.12</v>
      </c>
      <c r="K26" s="386">
        <v>489.12</v>
      </c>
      <c r="L26" s="386">
        <v>489.12</v>
      </c>
      <c r="M26" s="386">
        <v>489.12</v>
      </c>
      <c r="N26" s="386">
        <v>489.12</v>
      </c>
      <c r="O26" s="386">
        <v>489.12</v>
      </c>
      <c r="P26" s="386">
        <v>489.12</v>
      </c>
      <c r="Q26" s="386">
        <v>489.12</v>
      </c>
      <c r="R26" s="386">
        <v>489.12</v>
      </c>
      <c r="S26" s="386">
        <v>489.12</v>
      </c>
      <c r="T26" s="386">
        <v>489.12</v>
      </c>
      <c r="U26" s="386">
        <v>489.12</v>
      </c>
      <c r="V26" s="386">
        <v>489.12</v>
      </c>
      <c r="W26" s="386">
        <v>489.12</v>
      </c>
      <c r="X26" s="386">
        <v>489.12</v>
      </c>
      <c r="Y26" s="386">
        <v>489.12</v>
      </c>
      <c r="Z26" s="386">
        <v>489.12</v>
      </c>
      <c r="AA26" s="386">
        <v>0.0</v>
      </c>
      <c r="AB26" s="386">
        <v>0.0</v>
      </c>
      <c r="AC26" s="386">
        <v>0.0</v>
      </c>
    </row>
    <row r="27">
      <c r="A27" s="41" t="str">
        <f>VLOOKUP(C27,'YTD Income Statement'!$F:$F,1,false)</f>
        <v>#N/A</v>
      </c>
      <c r="B27" s="41" t="s">
        <v>960</v>
      </c>
      <c r="C27" s="41" t="s">
        <v>72</v>
      </c>
      <c r="D27" s="386" t="s">
        <v>35</v>
      </c>
      <c r="E27" s="386">
        <v>30000.0</v>
      </c>
      <c r="F27" s="386">
        <v>0.0</v>
      </c>
      <c r="G27" s="386">
        <v>2500.0</v>
      </c>
      <c r="H27" s="386">
        <v>0.0</v>
      </c>
      <c r="I27" s="386">
        <v>2500.0</v>
      </c>
      <c r="J27" s="386">
        <v>0.0</v>
      </c>
      <c r="K27" s="386">
        <v>2500.0</v>
      </c>
      <c r="L27" s="386">
        <v>0.0</v>
      </c>
      <c r="M27" s="386">
        <v>2500.0</v>
      </c>
      <c r="N27" s="386">
        <v>0.0</v>
      </c>
      <c r="O27" s="386">
        <v>2500.0</v>
      </c>
      <c r="P27" s="386">
        <v>0.0</v>
      </c>
      <c r="Q27" s="386">
        <v>2500.0</v>
      </c>
      <c r="R27" s="386">
        <v>0.0</v>
      </c>
      <c r="S27" s="386">
        <v>2500.0</v>
      </c>
      <c r="T27" s="386">
        <v>0.0</v>
      </c>
      <c r="U27" s="386">
        <v>2500.0</v>
      </c>
      <c r="V27" s="386">
        <v>0.0</v>
      </c>
      <c r="W27" s="386">
        <v>2500.0</v>
      </c>
      <c r="X27" s="386">
        <v>0.0</v>
      </c>
      <c r="Y27" s="386">
        <v>2500.0</v>
      </c>
      <c r="Z27" s="386">
        <v>0.0</v>
      </c>
      <c r="AA27" s="386">
        <v>2500.0</v>
      </c>
      <c r="AB27" s="386">
        <v>0.0</v>
      </c>
      <c r="AC27" s="386">
        <v>2500.0</v>
      </c>
    </row>
    <row r="28">
      <c r="A28" s="41" t="str">
        <f>VLOOKUP(C28,'YTD Income Statement'!$F:$F,1,false)</f>
        <v>#N/A</v>
      </c>
      <c r="B28" s="41" t="s">
        <v>960</v>
      </c>
      <c r="C28" s="41" t="s">
        <v>73</v>
      </c>
      <c r="D28" s="386" t="s">
        <v>35</v>
      </c>
      <c r="E28" s="386">
        <v>4200.0</v>
      </c>
      <c r="F28" s="386">
        <v>0.0</v>
      </c>
      <c r="G28" s="386">
        <v>350.0</v>
      </c>
      <c r="H28" s="386">
        <v>0.0</v>
      </c>
      <c r="I28" s="386">
        <v>350.0</v>
      </c>
      <c r="J28" s="386">
        <v>0.0</v>
      </c>
      <c r="K28" s="386">
        <v>350.0</v>
      </c>
      <c r="L28" s="386">
        <v>0.0</v>
      </c>
      <c r="M28" s="386">
        <v>350.0</v>
      </c>
      <c r="N28" s="386">
        <v>0.0</v>
      </c>
      <c r="O28" s="386">
        <v>350.0</v>
      </c>
      <c r="P28" s="386">
        <v>0.0</v>
      </c>
      <c r="Q28" s="386">
        <v>350.0</v>
      </c>
      <c r="R28" s="386">
        <v>0.0</v>
      </c>
      <c r="S28" s="386">
        <v>350.0</v>
      </c>
      <c r="T28" s="386">
        <v>0.0</v>
      </c>
      <c r="U28" s="386">
        <v>350.0</v>
      </c>
      <c r="V28" s="386">
        <v>0.0</v>
      </c>
      <c r="W28" s="386">
        <v>350.0</v>
      </c>
      <c r="X28" s="386">
        <v>0.0</v>
      </c>
      <c r="Y28" s="386">
        <v>350.0</v>
      </c>
      <c r="Z28" s="386">
        <v>0.0</v>
      </c>
      <c r="AA28" s="386">
        <v>350.0</v>
      </c>
      <c r="AB28" s="386">
        <v>0.0</v>
      </c>
      <c r="AC28" s="386">
        <v>350.0</v>
      </c>
    </row>
    <row r="29">
      <c r="A29" s="41" t="str">
        <f>VLOOKUP(C29,'YTD Income Statement'!$F:$F,1,false)</f>
        <v>#N/A</v>
      </c>
      <c r="B29" s="41" t="s">
        <v>960</v>
      </c>
      <c r="C29" s="41" t="s">
        <v>74</v>
      </c>
      <c r="D29" s="386" t="s">
        <v>35</v>
      </c>
      <c r="E29" s="386">
        <v>1860.0</v>
      </c>
      <c r="F29" s="386">
        <v>0.0</v>
      </c>
      <c r="G29" s="386">
        <v>155.0</v>
      </c>
      <c r="H29" s="386">
        <v>0.0</v>
      </c>
      <c r="I29" s="386">
        <v>155.0</v>
      </c>
      <c r="J29" s="386">
        <v>0.0</v>
      </c>
      <c r="K29" s="386">
        <v>155.0</v>
      </c>
      <c r="L29" s="386">
        <v>0.0</v>
      </c>
      <c r="M29" s="386">
        <v>155.0</v>
      </c>
      <c r="N29" s="386">
        <v>0.0</v>
      </c>
      <c r="O29" s="386">
        <v>155.0</v>
      </c>
      <c r="P29" s="386">
        <v>0.0</v>
      </c>
      <c r="Q29" s="386">
        <v>155.0</v>
      </c>
      <c r="R29" s="386">
        <v>0.0</v>
      </c>
      <c r="S29" s="386">
        <v>155.0</v>
      </c>
      <c r="T29" s="386">
        <v>0.0</v>
      </c>
      <c r="U29" s="386">
        <v>155.0</v>
      </c>
      <c r="V29" s="386">
        <v>0.0</v>
      </c>
      <c r="W29" s="386">
        <v>155.0</v>
      </c>
      <c r="X29" s="386">
        <v>0.0</v>
      </c>
      <c r="Y29" s="386">
        <v>155.0</v>
      </c>
      <c r="Z29" s="386">
        <v>0.0</v>
      </c>
      <c r="AA29" s="386">
        <v>155.0</v>
      </c>
      <c r="AB29" s="386">
        <v>0.0</v>
      </c>
      <c r="AC29" s="386">
        <v>155.0</v>
      </c>
    </row>
    <row r="30">
      <c r="A30" s="41" t="str">
        <f>VLOOKUP(C30,'YTD Income Statement'!$F:$F,1,false)</f>
        <v>#N/A</v>
      </c>
      <c r="B30" s="41" t="s">
        <v>960</v>
      </c>
      <c r="C30" s="41" t="s">
        <v>75</v>
      </c>
      <c r="D30" s="386" t="s">
        <v>35</v>
      </c>
      <c r="E30" s="386">
        <v>435.0</v>
      </c>
      <c r="F30" s="386">
        <v>0.0</v>
      </c>
      <c r="G30" s="386">
        <v>36.25</v>
      </c>
      <c r="H30" s="386">
        <v>0.0</v>
      </c>
      <c r="I30" s="386">
        <v>36.25</v>
      </c>
      <c r="J30" s="386">
        <v>0.0</v>
      </c>
      <c r="K30" s="386">
        <v>36.25</v>
      </c>
      <c r="L30" s="386">
        <v>0.0</v>
      </c>
      <c r="M30" s="386">
        <v>36.25</v>
      </c>
      <c r="N30" s="386">
        <v>0.0</v>
      </c>
      <c r="O30" s="386">
        <v>36.25</v>
      </c>
      <c r="P30" s="386">
        <v>0.0</v>
      </c>
      <c r="Q30" s="386">
        <v>36.25</v>
      </c>
      <c r="R30" s="386">
        <v>0.0</v>
      </c>
      <c r="S30" s="386">
        <v>36.25</v>
      </c>
      <c r="T30" s="386">
        <v>0.0</v>
      </c>
      <c r="U30" s="386">
        <v>36.25</v>
      </c>
      <c r="V30" s="386">
        <v>0.0</v>
      </c>
      <c r="W30" s="386">
        <v>36.25</v>
      </c>
      <c r="X30" s="386">
        <v>0.0</v>
      </c>
      <c r="Y30" s="386">
        <v>36.25</v>
      </c>
      <c r="Z30" s="386">
        <v>0.0</v>
      </c>
      <c r="AA30" s="386">
        <v>36.25</v>
      </c>
      <c r="AB30" s="386">
        <v>0.0</v>
      </c>
      <c r="AC30" s="386">
        <v>36.25</v>
      </c>
    </row>
    <row r="31">
      <c r="A31" s="41" t="str">
        <f>VLOOKUP(C31,'YTD Income Statement'!$F:$F,1,false)</f>
        <v>#N/A</v>
      </c>
      <c r="B31" s="41" t="s">
        <v>960</v>
      </c>
      <c r="C31" s="41" t="s">
        <v>76</v>
      </c>
      <c r="D31" s="386" t="s">
        <v>35</v>
      </c>
      <c r="E31" s="386">
        <v>3375.0</v>
      </c>
      <c r="F31" s="386">
        <v>0.0</v>
      </c>
      <c r="G31" s="386">
        <v>281.25</v>
      </c>
      <c r="H31" s="386">
        <v>0.0</v>
      </c>
      <c r="I31" s="386">
        <v>281.25</v>
      </c>
      <c r="J31" s="386">
        <v>0.0</v>
      </c>
      <c r="K31" s="386">
        <v>281.25</v>
      </c>
      <c r="L31" s="386">
        <v>0.0</v>
      </c>
      <c r="M31" s="386">
        <v>281.25</v>
      </c>
      <c r="N31" s="386">
        <v>0.0</v>
      </c>
      <c r="O31" s="386">
        <v>281.25</v>
      </c>
      <c r="P31" s="386">
        <v>0.0</v>
      </c>
      <c r="Q31" s="386">
        <v>281.25</v>
      </c>
      <c r="R31" s="386">
        <v>0.0</v>
      </c>
      <c r="S31" s="386">
        <v>281.25</v>
      </c>
      <c r="T31" s="386">
        <v>0.0</v>
      </c>
      <c r="U31" s="386">
        <v>281.25</v>
      </c>
      <c r="V31" s="386">
        <v>0.0</v>
      </c>
      <c r="W31" s="386">
        <v>281.25</v>
      </c>
      <c r="X31" s="386">
        <v>0.0</v>
      </c>
      <c r="Y31" s="386">
        <v>281.25</v>
      </c>
      <c r="Z31" s="386">
        <v>0.0</v>
      </c>
      <c r="AA31" s="386">
        <v>281.25</v>
      </c>
      <c r="AB31" s="386">
        <v>0.0</v>
      </c>
      <c r="AC31" s="386">
        <v>281.25</v>
      </c>
    </row>
    <row r="32">
      <c r="A32" s="41" t="str">
        <f>VLOOKUP(C32,'YTD Income Statement'!$F:$F,1,false)</f>
        <v>1221-6319</v>
      </c>
      <c r="B32" s="41" t="s">
        <v>960</v>
      </c>
      <c r="C32" s="41" t="s">
        <v>77</v>
      </c>
      <c r="D32" s="386" t="s">
        <v>35</v>
      </c>
      <c r="E32" s="386">
        <v>272754.37</v>
      </c>
      <c r="F32" s="386">
        <v>0.0</v>
      </c>
      <c r="G32" s="386">
        <v>22729.53</v>
      </c>
      <c r="H32" s="386">
        <v>0.0</v>
      </c>
      <c r="I32" s="386">
        <v>22729.53</v>
      </c>
      <c r="J32" s="386">
        <v>0.0</v>
      </c>
      <c r="K32" s="386">
        <v>22729.53</v>
      </c>
      <c r="L32" s="386">
        <v>0.0</v>
      </c>
      <c r="M32" s="386">
        <v>22729.53</v>
      </c>
      <c r="N32" s="386">
        <v>0.0</v>
      </c>
      <c r="O32" s="386">
        <v>22729.53</v>
      </c>
      <c r="P32" s="386">
        <v>0.0</v>
      </c>
      <c r="Q32" s="386">
        <v>22729.53</v>
      </c>
      <c r="R32" s="386">
        <v>0.0</v>
      </c>
      <c r="S32" s="386">
        <v>22729.53</v>
      </c>
      <c r="T32" s="386">
        <v>0.0</v>
      </c>
      <c r="U32" s="386">
        <v>22729.53</v>
      </c>
      <c r="V32" s="386">
        <v>0.0</v>
      </c>
      <c r="W32" s="386">
        <v>22729.53</v>
      </c>
      <c r="X32" s="386">
        <v>0.0</v>
      </c>
      <c r="Y32" s="386">
        <v>22729.53</v>
      </c>
      <c r="Z32" s="386">
        <v>0.0</v>
      </c>
      <c r="AA32" s="386">
        <v>22729.53</v>
      </c>
      <c r="AB32" s="386">
        <v>0.0</v>
      </c>
      <c r="AC32" s="386">
        <v>22729.53</v>
      </c>
    </row>
    <row r="33">
      <c r="A33" s="41" t="str">
        <f>VLOOKUP(C33,'YTD Income Statement'!$F:$F,1,false)</f>
        <v>1411-6131</v>
      </c>
      <c r="B33" s="41" t="s">
        <v>960</v>
      </c>
      <c r="C33" s="41" t="s">
        <v>78</v>
      </c>
      <c r="D33" s="386" t="s">
        <v>35</v>
      </c>
      <c r="E33" s="386">
        <v>7200.0</v>
      </c>
      <c r="F33" s="386">
        <v>0.0</v>
      </c>
      <c r="G33" s="386">
        <v>600.0</v>
      </c>
      <c r="H33" s="386">
        <v>0.0</v>
      </c>
      <c r="I33" s="386">
        <v>600.0</v>
      </c>
      <c r="J33" s="386">
        <v>0.0</v>
      </c>
      <c r="K33" s="386">
        <v>600.0</v>
      </c>
      <c r="L33" s="386">
        <v>0.0</v>
      </c>
      <c r="M33" s="386">
        <v>600.0</v>
      </c>
      <c r="N33" s="386">
        <v>0.0</v>
      </c>
      <c r="O33" s="386">
        <v>600.0</v>
      </c>
      <c r="P33" s="386">
        <v>0.0</v>
      </c>
      <c r="Q33" s="386">
        <v>600.0</v>
      </c>
      <c r="R33" s="386">
        <v>0.0</v>
      </c>
      <c r="S33" s="386">
        <v>600.0</v>
      </c>
      <c r="T33" s="386">
        <v>0.0</v>
      </c>
      <c r="U33" s="386">
        <v>600.0</v>
      </c>
      <c r="V33" s="386">
        <v>0.0</v>
      </c>
      <c r="W33" s="386">
        <v>600.0</v>
      </c>
      <c r="X33" s="386">
        <v>0.0</v>
      </c>
      <c r="Y33" s="386">
        <v>600.0</v>
      </c>
      <c r="Z33" s="386">
        <v>0.0</v>
      </c>
      <c r="AA33" s="386">
        <v>600.0</v>
      </c>
      <c r="AB33" s="386">
        <v>0.0</v>
      </c>
      <c r="AC33" s="386">
        <v>600.0</v>
      </c>
    </row>
    <row r="34">
      <c r="A34" s="41" t="str">
        <f>VLOOKUP(C34,'YTD Income Statement'!$F:$F,1,false)</f>
        <v>#N/A</v>
      </c>
      <c r="B34" s="41" t="s">
        <v>960</v>
      </c>
      <c r="C34" s="41" t="s">
        <v>79</v>
      </c>
      <c r="D34" s="386" t="s">
        <v>35</v>
      </c>
      <c r="E34" s="386">
        <v>446.4</v>
      </c>
      <c r="F34" s="386">
        <v>0.0</v>
      </c>
      <c r="G34" s="386">
        <v>37.2</v>
      </c>
      <c r="H34" s="386">
        <v>0.0</v>
      </c>
      <c r="I34" s="386">
        <v>37.2</v>
      </c>
      <c r="J34" s="386">
        <v>0.0</v>
      </c>
      <c r="K34" s="386">
        <v>37.2</v>
      </c>
      <c r="L34" s="386">
        <v>0.0</v>
      </c>
      <c r="M34" s="386">
        <v>37.2</v>
      </c>
      <c r="N34" s="386">
        <v>0.0</v>
      </c>
      <c r="O34" s="386">
        <v>37.2</v>
      </c>
      <c r="P34" s="386">
        <v>0.0</v>
      </c>
      <c r="Q34" s="386">
        <v>37.2</v>
      </c>
      <c r="R34" s="386">
        <v>0.0</v>
      </c>
      <c r="S34" s="386">
        <v>37.2</v>
      </c>
      <c r="T34" s="386">
        <v>0.0</v>
      </c>
      <c r="U34" s="386">
        <v>37.2</v>
      </c>
      <c r="V34" s="386">
        <v>0.0</v>
      </c>
      <c r="W34" s="386">
        <v>37.2</v>
      </c>
      <c r="X34" s="386">
        <v>0.0</v>
      </c>
      <c r="Y34" s="386">
        <v>37.2</v>
      </c>
      <c r="Z34" s="386">
        <v>0.0</v>
      </c>
      <c r="AA34" s="386">
        <v>37.2</v>
      </c>
      <c r="AB34" s="386">
        <v>0.0</v>
      </c>
      <c r="AC34" s="386">
        <v>37.2</v>
      </c>
    </row>
    <row r="35">
      <c r="A35" s="41" t="str">
        <f>VLOOKUP(C35,'YTD Income Statement'!$F:$F,1,false)</f>
        <v>#N/A</v>
      </c>
      <c r="B35" s="41" t="s">
        <v>960</v>
      </c>
      <c r="C35" s="41" t="s">
        <v>80</v>
      </c>
      <c r="D35" s="386" t="s">
        <v>35</v>
      </c>
      <c r="E35" s="386">
        <v>104.4</v>
      </c>
      <c r="F35" s="386">
        <v>0.0</v>
      </c>
      <c r="G35" s="386">
        <v>8.7</v>
      </c>
      <c r="H35" s="386">
        <v>0.0</v>
      </c>
      <c r="I35" s="386">
        <v>8.7</v>
      </c>
      <c r="J35" s="386">
        <v>0.0</v>
      </c>
      <c r="K35" s="386">
        <v>8.7</v>
      </c>
      <c r="L35" s="386">
        <v>0.0</v>
      </c>
      <c r="M35" s="386">
        <v>8.7</v>
      </c>
      <c r="N35" s="386">
        <v>0.0</v>
      </c>
      <c r="O35" s="386">
        <v>8.7</v>
      </c>
      <c r="P35" s="386">
        <v>0.0</v>
      </c>
      <c r="Q35" s="386">
        <v>8.7</v>
      </c>
      <c r="R35" s="386">
        <v>0.0</v>
      </c>
      <c r="S35" s="386">
        <v>8.7</v>
      </c>
      <c r="T35" s="386">
        <v>0.0</v>
      </c>
      <c r="U35" s="386">
        <v>8.7</v>
      </c>
      <c r="V35" s="386">
        <v>0.0</v>
      </c>
      <c r="W35" s="386">
        <v>8.7</v>
      </c>
      <c r="X35" s="386">
        <v>0.0</v>
      </c>
      <c r="Y35" s="386">
        <v>8.7</v>
      </c>
      <c r="Z35" s="386">
        <v>0.0</v>
      </c>
      <c r="AA35" s="386">
        <v>8.7</v>
      </c>
      <c r="AB35" s="386">
        <v>0.0</v>
      </c>
      <c r="AC35" s="386">
        <v>8.7</v>
      </c>
    </row>
    <row r="36">
      <c r="A36" s="41" t="str">
        <f>VLOOKUP(C36,'YTD Income Statement'!$F:$F,1,false)</f>
        <v>#N/A</v>
      </c>
      <c r="B36" s="41" t="s">
        <v>960</v>
      </c>
      <c r="C36" s="41" t="s">
        <v>81</v>
      </c>
      <c r="D36" s="386" t="s">
        <v>35</v>
      </c>
      <c r="E36" s="386">
        <v>123791.94</v>
      </c>
      <c r="F36" s="386">
        <v>0.0</v>
      </c>
      <c r="G36" s="386">
        <v>4140.99</v>
      </c>
      <c r="H36" s="386">
        <v>36150.0</v>
      </c>
      <c r="I36" s="386">
        <v>4240.99</v>
      </c>
      <c r="J36" s="386">
        <v>100.0</v>
      </c>
      <c r="K36" s="386">
        <v>4240.99</v>
      </c>
      <c r="L36" s="386">
        <v>100.0</v>
      </c>
      <c r="M36" s="386">
        <v>4240.99</v>
      </c>
      <c r="N36" s="386">
        <v>100.0</v>
      </c>
      <c r="O36" s="386">
        <v>4240.99</v>
      </c>
      <c r="P36" s="386">
        <v>100.0</v>
      </c>
      <c r="Q36" s="386">
        <v>4240.99</v>
      </c>
      <c r="R36" s="386">
        <v>100.0</v>
      </c>
      <c r="S36" s="386">
        <v>40290.99</v>
      </c>
      <c r="T36" s="386">
        <v>100.0</v>
      </c>
      <c r="U36" s="386">
        <v>4240.99</v>
      </c>
      <c r="V36" s="386">
        <v>100.0</v>
      </c>
      <c r="W36" s="386">
        <v>4240.99</v>
      </c>
      <c r="X36" s="386">
        <v>100.0</v>
      </c>
      <c r="Y36" s="386">
        <v>4240.99</v>
      </c>
      <c r="Z36" s="386">
        <v>100.0</v>
      </c>
      <c r="AA36" s="386">
        <v>4240.99</v>
      </c>
      <c r="AB36" s="386">
        <v>0.0</v>
      </c>
      <c r="AC36" s="386">
        <v>4140.99</v>
      </c>
    </row>
    <row r="37">
      <c r="A37" s="41" t="str">
        <f>VLOOKUP(C37,'YTD Income Statement'!$F:$F,1,false)</f>
        <v>#N/A</v>
      </c>
      <c r="B37" s="41" t="s">
        <v>960</v>
      </c>
      <c r="C37" s="41" t="s">
        <v>82</v>
      </c>
      <c r="D37" s="386" t="s">
        <v>35</v>
      </c>
      <c r="E37" s="386">
        <v>9866.5</v>
      </c>
      <c r="F37" s="386">
        <v>0.0</v>
      </c>
      <c r="G37" s="386">
        <v>0.0</v>
      </c>
      <c r="H37" s="386">
        <v>4933.25</v>
      </c>
      <c r="I37" s="386">
        <v>0.0</v>
      </c>
      <c r="J37" s="386">
        <v>0.0</v>
      </c>
      <c r="K37" s="386">
        <v>0.0</v>
      </c>
      <c r="L37" s="386">
        <v>0.0</v>
      </c>
      <c r="M37" s="386">
        <v>0.0</v>
      </c>
      <c r="N37" s="386">
        <v>0.0</v>
      </c>
      <c r="O37" s="386">
        <v>0.0</v>
      </c>
      <c r="P37" s="386">
        <v>0.0</v>
      </c>
      <c r="Q37" s="386">
        <v>0.0</v>
      </c>
      <c r="R37" s="386">
        <v>0.0</v>
      </c>
      <c r="S37" s="386">
        <v>4933.25</v>
      </c>
      <c r="T37" s="386">
        <v>0.0</v>
      </c>
      <c r="U37" s="386">
        <v>0.0</v>
      </c>
      <c r="V37" s="386">
        <v>0.0</v>
      </c>
      <c r="W37" s="386">
        <v>0.0</v>
      </c>
      <c r="X37" s="386">
        <v>0.0</v>
      </c>
      <c r="Y37" s="386">
        <v>0.0</v>
      </c>
      <c r="Z37" s="386">
        <v>0.0</v>
      </c>
      <c r="AA37" s="386">
        <v>0.0</v>
      </c>
      <c r="AB37" s="386">
        <v>0.0</v>
      </c>
      <c r="AC37" s="386">
        <v>0.0</v>
      </c>
    </row>
    <row r="38">
      <c r="A38" s="41" t="str">
        <f>VLOOKUP(C38,'YTD Income Statement'!$F:$F,1,false)</f>
        <v>2134-6411</v>
      </c>
      <c r="B38" s="41" t="s">
        <v>961</v>
      </c>
      <c r="C38" s="41" t="s">
        <v>83</v>
      </c>
      <c r="D38" s="386" t="s">
        <v>35</v>
      </c>
      <c r="E38" s="386">
        <v>500.0</v>
      </c>
      <c r="F38" s="386">
        <v>0.0</v>
      </c>
      <c r="G38" s="386">
        <v>0.0</v>
      </c>
      <c r="H38" s="386">
        <v>25.0</v>
      </c>
      <c r="I38" s="386">
        <v>25.0</v>
      </c>
      <c r="J38" s="386">
        <v>25.0</v>
      </c>
      <c r="K38" s="386">
        <v>25.0</v>
      </c>
      <c r="L38" s="386">
        <v>25.0</v>
      </c>
      <c r="M38" s="386">
        <v>25.0</v>
      </c>
      <c r="N38" s="386">
        <v>25.0</v>
      </c>
      <c r="O38" s="386">
        <v>25.0</v>
      </c>
      <c r="P38" s="386">
        <v>25.0</v>
      </c>
      <c r="Q38" s="386">
        <v>25.0</v>
      </c>
      <c r="R38" s="386">
        <v>0.0</v>
      </c>
      <c r="S38" s="386">
        <v>0.0</v>
      </c>
      <c r="T38" s="386">
        <v>25.0</v>
      </c>
      <c r="U38" s="386">
        <v>25.0</v>
      </c>
      <c r="V38" s="386">
        <v>25.0</v>
      </c>
      <c r="W38" s="386">
        <v>25.0</v>
      </c>
      <c r="X38" s="386">
        <v>25.0</v>
      </c>
      <c r="Y38" s="386">
        <v>25.0</v>
      </c>
      <c r="Z38" s="386">
        <v>25.0</v>
      </c>
      <c r="AA38" s="386">
        <v>25.0</v>
      </c>
      <c r="AB38" s="386">
        <v>25.0</v>
      </c>
      <c r="AC38" s="386">
        <v>25.0</v>
      </c>
    </row>
    <row r="39">
      <c r="A39" s="41" t="str">
        <f>VLOOKUP(C39,'YTD Income Statement'!$F:$F,1,false)</f>
        <v>2142-6319</v>
      </c>
      <c r="B39" s="41" t="s">
        <v>960</v>
      </c>
      <c r="C39" s="41" t="s">
        <v>84</v>
      </c>
      <c r="D39" s="386" t="s">
        <v>35</v>
      </c>
      <c r="E39" s="386">
        <v>26950.97</v>
      </c>
      <c r="F39" s="386">
        <v>0.0</v>
      </c>
      <c r="G39" s="386">
        <v>0.0</v>
      </c>
      <c r="H39" s="386">
        <v>1591.7</v>
      </c>
      <c r="I39" s="386">
        <v>1334.7</v>
      </c>
      <c r="J39" s="386">
        <v>1334.7</v>
      </c>
      <c r="K39" s="386">
        <v>1334.7</v>
      </c>
      <c r="L39" s="386">
        <v>1334.7</v>
      </c>
      <c r="M39" s="386">
        <v>1334.7</v>
      </c>
      <c r="N39" s="386">
        <v>1334.7</v>
      </c>
      <c r="O39" s="386">
        <v>1334.7</v>
      </c>
      <c r="P39" s="386">
        <v>1334.7</v>
      </c>
      <c r="Q39" s="386">
        <v>1334.7</v>
      </c>
      <c r="R39" s="386">
        <v>0.0</v>
      </c>
      <c r="S39" s="386">
        <v>0.0</v>
      </c>
      <c r="T39" s="386">
        <v>1334.7</v>
      </c>
      <c r="U39" s="386">
        <v>1334.7</v>
      </c>
      <c r="V39" s="386">
        <v>1334.7</v>
      </c>
      <c r="W39" s="386">
        <v>1334.7</v>
      </c>
      <c r="X39" s="386">
        <v>1334.7</v>
      </c>
      <c r="Y39" s="386">
        <v>1334.7</v>
      </c>
      <c r="Z39" s="386">
        <v>1334.7</v>
      </c>
      <c r="AA39" s="386">
        <v>1334.7</v>
      </c>
      <c r="AB39" s="386">
        <v>1334.7</v>
      </c>
      <c r="AC39" s="386">
        <v>1334.7</v>
      </c>
    </row>
    <row r="40">
      <c r="A40" s="41" t="str">
        <f>VLOOKUP(C40,'YTD Income Statement'!$F:$F,1,false)</f>
        <v>2152-6319</v>
      </c>
      <c r="B40" s="41" t="s">
        <v>960</v>
      </c>
      <c r="C40" s="41" t="s">
        <v>85</v>
      </c>
      <c r="D40" s="386" t="s">
        <v>35</v>
      </c>
      <c r="E40" s="386">
        <v>21869.14</v>
      </c>
      <c r="F40" s="386">
        <v>0.0</v>
      </c>
      <c r="G40" s="386">
        <v>0.0</v>
      </c>
      <c r="H40" s="386">
        <v>1093.46</v>
      </c>
      <c r="I40" s="386">
        <v>1093.46</v>
      </c>
      <c r="J40" s="386">
        <v>1093.46</v>
      </c>
      <c r="K40" s="386">
        <v>1093.46</v>
      </c>
      <c r="L40" s="386">
        <v>1093.46</v>
      </c>
      <c r="M40" s="386">
        <v>1093.46</v>
      </c>
      <c r="N40" s="386">
        <v>1093.46</v>
      </c>
      <c r="O40" s="386">
        <v>1093.46</v>
      </c>
      <c r="P40" s="386">
        <v>1093.46</v>
      </c>
      <c r="Q40" s="386">
        <v>1093.46</v>
      </c>
      <c r="R40" s="386">
        <v>0.0</v>
      </c>
      <c r="S40" s="386">
        <v>0.0</v>
      </c>
      <c r="T40" s="386">
        <v>1093.46</v>
      </c>
      <c r="U40" s="386">
        <v>1093.46</v>
      </c>
      <c r="V40" s="386">
        <v>1093.46</v>
      </c>
      <c r="W40" s="386">
        <v>1093.46</v>
      </c>
      <c r="X40" s="386">
        <v>1093.46</v>
      </c>
      <c r="Y40" s="386">
        <v>1093.46</v>
      </c>
      <c r="Z40" s="386">
        <v>1093.46</v>
      </c>
      <c r="AA40" s="386">
        <v>1093.46</v>
      </c>
      <c r="AB40" s="386">
        <v>1093.46</v>
      </c>
      <c r="AC40" s="386">
        <v>1093.46</v>
      </c>
    </row>
    <row r="41">
      <c r="A41" s="41" t="str">
        <f>VLOOKUP(C41,'YTD Income Statement'!$F:$F,1,false)</f>
        <v>2162-6319</v>
      </c>
      <c r="B41" s="41" t="s">
        <v>960</v>
      </c>
      <c r="C41" s="41" t="s">
        <v>86</v>
      </c>
      <c r="D41" s="386" t="s">
        <v>35</v>
      </c>
      <c r="E41" s="386">
        <v>20270.34</v>
      </c>
      <c r="F41" s="386">
        <v>0.0</v>
      </c>
      <c r="G41" s="386">
        <v>0.0</v>
      </c>
      <c r="H41" s="386">
        <v>1013.52</v>
      </c>
      <c r="I41" s="386">
        <v>1013.52</v>
      </c>
      <c r="J41" s="386">
        <v>1013.52</v>
      </c>
      <c r="K41" s="386">
        <v>1013.52</v>
      </c>
      <c r="L41" s="386">
        <v>1013.52</v>
      </c>
      <c r="M41" s="386">
        <v>1013.52</v>
      </c>
      <c r="N41" s="386">
        <v>1013.52</v>
      </c>
      <c r="O41" s="386">
        <v>1013.52</v>
      </c>
      <c r="P41" s="386">
        <v>1013.52</v>
      </c>
      <c r="Q41" s="386">
        <v>1013.52</v>
      </c>
      <c r="R41" s="386">
        <v>0.0</v>
      </c>
      <c r="S41" s="386">
        <v>0.0</v>
      </c>
      <c r="T41" s="386">
        <v>1013.52</v>
      </c>
      <c r="U41" s="386">
        <v>1013.52</v>
      </c>
      <c r="V41" s="386">
        <v>1013.52</v>
      </c>
      <c r="W41" s="386">
        <v>1013.52</v>
      </c>
      <c r="X41" s="386">
        <v>1013.52</v>
      </c>
      <c r="Y41" s="386">
        <v>1013.52</v>
      </c>
      <c r="Z41" s="386">
        <v>1013.52</v>
      </c>
      <c r="AA41" s="386">
        <v>1013.52</v>
      </c>
      <c r="AB41" s="386">
        <v>1013.52</v>
      </c>
      <c r="AC41" s="386">
        <v>1013.52</v>
      </c>
    </row>
    <row r="42">
      <c r="A42" s="41" t="str">
        <f>VLOOKUP(C42,'YTD Income Statement'!$F:$F,1,false)</f>
        <v>2191-6319</v>
      </c>
      <c r="B42" s="41" t="s">
        <v>960</v>
      </c>
      <c r="C42" s="41" t="s">
        <v>87</v>
      </c>
      <c r="D42" s="386" t="s">
        <v>35</v>
      </c>
      <c r="E42" s="386">
        <v>110114.72</v>
      </c>
      <c r="F42" s="386">
        <v>0.0</v>
      </c>
      <c r="G42" s="386">
        <v>9176.23</v>
      </c>
      <c r="H42" s="386">
        <v>0.0</v>
      </c>
      <c r="I42" s="386">
        <v>9176.23</v>
      </c>
      <c r="J42" s="386">
        <v>0.0</v>
      </c>
      <c r="K42" s="386">
        <v>9176.23</v>
      </c>
      <c r="L42" s="386">
        <v>0.0</v>
      </c>
      <c r="M42" s="386">
        <v>9176.23</v>
      </c>
      <c r="N42" s="386">
        <v>0.0</v>
      </c>
      <c r="O42" s="386">
        <v>9176.23</v>
      </c>
      <c r="P42" s="386">
        <v>0.0</v>
      </c>
      <c r="Q42" s="386">
        <v>9176.23</v>
      </c>
      <c r="R42" s="386">
        <v>0.0</v>
      </c>
      <c r="S42" s="386">
        <v>9176.23</v>
      </c>
      <c r="T42" s="386">
        <v>0.0</v>
      </c>
      <c r="U42" s="386">
        <v>9176.23</v>
      </c>
      <c r="V42" s="386">
        <v>0.0</v>
      </c>
      <c r="W42" s="386">
        <v>9176.23</v>
      </c>
      <c r="X42" s="386">
        <v>0.0</v>
      </c>
      <c r="Y42" s="386">
        <v>9176.23</v>
      </c>
      <c r="Z42" s="386">
        <v>0.0</v>
      </c>
      <c r="AA42" s="386">
        <v>9176.23</v>
      </c>
      <c r="AB42" s="386">
        <v>0.0</v>
      </c>
      <c r="AC42" s="386">
        <v>9176.23</v>
      </c>
    </row>
    <row r="43">
      <c r="A43" s="41" t="str">
        <f>VLOOKUP(C43,'YTD Income Statement'!$F:$F,1,false)</f>
        <v>#N/A</v>
      </c>
      <c r="B43" s="41" t="s">
        <v>960</v>
      </c>
      <c r="C43" s="41" t="s">
        <v>88</v>
      </c>
      <c r="D43" s="386" t="s">
        <v>35</v>
      </c>
      <c r="E43" s="386">
        <v>281888.23</v>
      </c>
      <c r="F43" s="386">
        <v>0.0</v>
      </c>
      <c r="G43" s="386">
        <v>23490.69</v>
      </c>
      <c r="H43" s="386">
        <v>0.0</v>
      </c>
      <c r="I43" s="386">
        <v>23490.69</v>
      </c>
      <c r="J43" s="386">
        <v>0.0</v>
      </c>
      <c r="K43" s="386">
        <v>23490.69</v>
      </c>
      <c r="L43" s="386">
        <v>0.0</v>
      </c>
      <c r="M43" s="386">
        <v>23490.69</v>
      </c>
      <c r="N43" s="386">
        <v>0.0</v>
      </c>
      <c r="O43" s="386">
        <v>23490.69</v>
      </c>
      <c r="P43" s="386">
        <v>0.0</v>
      </c>
      <c r="Q43" s="386">
        <v>23490.69</v>
      </c>
      <c r="R43" s="386">
        <v>0.0</v>
      </c>
      <c r="S43" s="386">
        <v>23490.69</v>
      </c>
      <c r="T43" s="386">
        <v>0.0</v>
      </c>
      <c r="U43" s="386">
        <v>23490.69</v>
      </c>
      <c r="V43" s="386">
        <v>0.0</v>
      </c>
      <c r="W43" s="386">
        <v>23490.69</v>
      </c>
      <c r="X43" s="386">
        <v>0.0</v>
      </c>
      <c r="Y43" s="386">
        <v>23490.69</v>
      </c>
      <c r="Z43" s="386">
        <v>0.0</v>
      </c>
      <c r="AA43" s="386">
        <v>23490.69</v>
      </c>
      <c r="AB43" s="386">
        <v>0.0</v>
      </c>
      <c r="AC43" s="386">
        <v>23490.69</v>
      </c>
    </row>
    <row r="44">
      <c r="A44" s="41" t="str">
        <f>VLOOKUP(C44,'YTD Income Statement'!$F:$F,1,false)</f>
        <v>2213-6319</v>
      </c>
      <c r="B44" s="41" t="s">
        <v>962</v>
      </c>
      <c r="C44" s="41" t="s">
        <v>89</v>
      </c>
      <c r="D44" s="386" t="s">
        <v>35</v>
      </c>
      <c r="E44" s="386">
        <v>3000.0</v>
      </c>
      <c r="F44" s="386">
        <v>0.0</v>
      </c>
      <c r="G44" s="386">
        <v>0.0</v>
      </c>
      <c r="H44" s="386">
        <v>0.0</v>
      </c>
      <c r="I44" s="386">
        <v>0.0</v>
      </c>
      <c r="J44" s="386">
        <v>3000.0</v>
      </c>
      <c r="K44" s="386">
        <v>0.0</v>
      </c>
      <c r="L44" s="386">
        <v>0.0</v>
      </c>
      <c r="M44" s="386">
        <v>0.0</v>
      </c>
      <c r="N44" s="386">
        <v>0.0</v>
      </c>
      <c r="O44" s="386">
        <v>0.0</v>
      </c>
      <c r="P44" s="386">
        <v>0.0</v>
      </c>
      <c r="Q44" s="386">
        <v>0.0</v>
      </c>
      <c r="R44" s="386">
        <v>0.0</v>
      </c>
      <c r="S44" s="386">
        <v>0.0</v>
      </c>
      <c r="T44" s="386">
        <v>0.0</v>
      </c>
      <c r="U44" s="386">
        <v>0.0</v>
      </c>
      <c r="V44" s="386">
        <v>0.0</v>
      </c>
      <c r="W44" s="386">
        <v>0.0</v>
      </c>
      <c r="X44" s="386">
        <v>0.0</v>
      </c>
      <c r="Y44" s="386">
        <v>0.0</v>
      </c>
      <c r="Z44" s="386">
        <v>0.0</v>
      </c>
      <c r="AA44" s="386">
        <v>0.0</v>
      </c>
      <c r="AB44" s="386">
        <v>0.0</v>
      </c>
      <c r="AC44" s="386">
        <v>0.0</v>
      </c>
    </row>
    <row r="45">
      <c r="A45" s="41" t="str">
        <f>VLOOKUP(C45,'YTD Income Statement'!$F:$F,1,false)</f>
        <v>2213-6343</v>
      </c>
      <c r="B45" s="41" t="s">
        <v>962</v>
      </c>
      <c r="C45" s="41" t="s">
        <v>90</v>
      </c>
      <c r="D45" s="386" t="s">
        <v>35</v>
      </c>
      <c r="E45" s="386">
        <v>6400.0</v>
      </c>
      <c r="F45" s="386">
        <v>0.0</v>
      </c>
      <c r="G45" s="386">
        <v>0.0</v>
      </c>
      <c r="H45" s="386">
        <v>0.0</v>
      </c>
      <c r="I45" s="386">
        <v>0.0</v>
      </c>
      <c r="J45" s="386">
        <v>6400.0</v>
      </c>
      <c r="K45" s="386">
        <v>0.0</v>
      </c>
      <c r="L45" s="386">
        <v>0.0</v>
      </c>
      <c r="M45" s="386">
        <v>0.0</v>
      </c>
      <c r="N45" s="386">
        <v>0.0</v>
      </c>
      <c r="O45" s="386">
        <v>0.0</v>
      </c>
      <c r="P45" s="386">
        <v>0.0</v>
      </c>
      <c r="Q45" s="386">
        <v>0.0</v>
      </c>
      <c r="R45" s="386">
        <v>0.0</v>
      </c>
      <c r="S45" s="386">
        <v>0.0</v>
      </c>
      <c r="T45" s="386">
        <v>0.0</v>
      </c>
      <c r="U45" s="386">
        <v>0.0</v>
      </c>
      <c r="V45" s="386">
        <v>0.0</v>
      </c>
      <c r="W45" s="386">
        <v>0.0</v>
      </c>
      <c r="X45" s="386">
        <v>0.0</v>
      </c>
      <c r="Y45" s="386">
        <v>0.0</v>
      </c>
      <c r="Z45" s="386">
        <v>0.0</v>
      </c>
      <c r="AA45" s="386">
        <v>0.0</v>
      </c>
      <c r="AB45" s="386">
        <v>0.0</v>
      </c>
      <c r="AC45" s="386">
        <v>0.0</v>
      </c>
    </row>
    <row r="46">
      <c r="A46" s="41" t="str">
        <f>VLOOKUP(C46,'YTD Income Statement'!$F:$F,1,false)</f>
        <v>2311-6315</v>
      </c>
      <c r="B46" s="41" t="s">
        <v>963</v>
      </c>
      <c r="C46" s="41" t="s">
        <v>91</v>
      </c>
      <c r="D46" s="386" t="s">
        <v>35</v>
      </c>
      <c r="E46" s="386">
        <v>14375.0</v>
      </c>
      <c r="F46" s="386">
        <v>0.0</v>
      </c>
      <c r="G46" s="386">
        <v>0.0</v>
      </c>
      <c r="H46" s="386">
        <v>0.0</v>
      </c>
      <c r="I46" s="386">
        <v>0.0</v>
      </c>
      <c r="J46" s="386">
        <v>14375.0</v>
      </c>
      <c r="K46" s="386">
        <v>0.0</v>
      </c>
      <c r="L46" s="386">
        <v>0.0</v>
      </c>
      <c r="M46" s="386">
        <v>0.0</v>
      </c>
      <c r="N46" s="386">
        <v>0.0</v>
      </c>
      <c r="O46" s="386">
        <v>0.0</v>
      </c>
      <c r="P46" s="386">
        <v>0.0</v>
      </c>
      <c r="Q46" s="386">
        <v>0.0</v>
      </c>
      <c r="R46" s="386">
        <v>0.0</v>
      </c>
      <c r="S46" s="386">
        <v>0.0</v>
      </c>
      <c r="T46" s="386">
        <v>0.0</v>
      </c>
      <c r="U46" s="386">
        <v>0.0</v>
      </c>
      <c r="V46" s="386">
        <v>0.0</v>
      </c>
      <c r="W46" s="386">
        <v>0.0</v>
      </c>
      <c r="X46" s="386">
        <v>0.0</v>
      </c>
      <c r="Y46" s="386">
        <v>0.0</v>
      </c>
      <c r="Z46" s="386">
        <v>0.0</v>
      </c>
      <c r="AA46" s="386">
        <v>0.0</v>
      </c>
      <c r="AB46" s="386">
        <v>0.0</v>
      </c>
      <c r="AC46" s="386">
        <v>0.0</v>
      </c>
    </row>
    <row r="47">
      <c r="A47" s="41" t="str">
        <f>VLOOKUP(C47,'YTD Income Statement'!$F:$F,1,false)</f>
        <v>2311-6317</v>
      </c>
      <c r="B47" s="41" t="s">
        <v>963</v>
      </c>
      <c r="C47" s="41" t="s">
        <v>92</v>
      </c>
      <c r="D47" s="386" t="s">
        <v>35</v>
      </c>
      <c r="E47" s="386">
        <v>12330.0</v>
      </c>
      <c r="F47" s="386">
        <v>416.67</v>
      </c>
      <c r="G47" s="386">
        <v>416.67</v>
      </c>
      <c r="H47" s="386">
        <v>416.67</v>
      </c>
      <c r="I47" s="386">
        <v>416.67</v>
      </c>
      <c r="J47" s="386">
        <v>416.67</v>
      </c>
      <c r="K47" s="386">
        <v>416.67</v>
      </c>
      <c r="L47" s="386">
        <v>416.67</v>
      </c>
      <c r="M47" s="386">
        <v>416.67</v>
      </c>
      <c r="N47" s="386">
        <v>416.67</v>
      </c>
      <c r="O47" s="386">
        <v>416.67</v>
      </c>
      <c r="P47" s="386">
        <v>416.67</v>
      </c>
      <c r="Q47" s="386">
        <v>416.67</v>
      </c>
      <c r="R47" s="386">
        <v>416.67</v>
      </c>
      <c r="S47" s="386">
        <v>416.67</v>
      </c>
      <c r="T47" s="386">
        <v>416.67</v>
      </c>
      <c r="U47" s="386">
        <v>416.67</v>
      </c>
      <c r="V47" s="386">
        <v>2746.67</v>
      </c>
      <c r="W47" s="386">
        <v>416.67</v>
      </c>
      <c r="X47" s="386">
        <v>416.67</v>
      </c>
      <c r="Y47" s="386">
        <v>416.67</v>
      </c>
      <c r="Z47" s="386">
        <v>416.67</v>
      </c>
      <c r="AA47" s="386">
        <v>416.67</v>
      </c>
      <c r="AB47" s="386">
        <v>416.67</v>
      </c>
      <c r="AC47" s="386">
        <v>416.67</v>
      </c>
    </row>
    <row r="48">
      <c r="A48" s="41" t="str">
        <f>VLOOKUP(C48,'YTD Income Statement'!$F:$F,1,false)</f>
        <v>2311-6352</v>
      </c>
      <c r="B48" s="41" t="s">
        <v>963</v>
      </c>
      <c r="C48" s="41" t="s">
        <v>93</v>
      </c>
      <c r="D48" s="386" t="s">
        <v>35</v>
      </c>
      <c r="E48" s="386">
        <v>57798.5</v>
      </c>
      <c r="F48" s="386">
        <v>942.1</v>
      </c>
      <c r="G48" s="386">
        <v>13826.25</v>
      </c>
      <c r="H48" s="386">
        <v>942.1</v>
      </c>
      <c r="I48" s="386">
        <v>3874.44</v>
      </c>
      <c r="J48" s="386">
        <v>942.1</v>
      </c>
      <c r="K48" s="386">
        <v>3874.44</v>
      </c>
      <c r="L48" s="386">
        <v>942.1</v>
      </c>
      <c r="M48" s="386">
        <v>3874.44</v>
      </c>
      <c r="N48" s="386">
        <v>942.1</v>
      </c>
      <c r="O48" s="386">
        <v>3874.44</v>
      </c>
      <c r="P48" s="386">
        <v>942.1</v>
      </c>
      <c r="Q48" s="386">
        <v>3874.44</v>
      </c>
      <c r="R48" s="386">
        <v>942.1</v>
      </c>
      <c r="S48" s="386">
        <v>3874.44</v>
      </c>
      <c r="T48" s="386">
        <v>942.1</v>
      </c>
      <c r="U48" s="386">
        <v>3874.44</v>
      </c>
      <c r="V48" s="386">
        <v>942.1</v>
      </c>
      <c r="W48" s="386">
        <v>3874.44</v>
      </c>
      <c r="X48" s="386">
        <v>942.1</v>
      </c>
      <c r="Y48" s="386">
        <v>3874.44</v>
      </c>
      <c r="Z48" s="386">
        <v>942.1</v>
      </c>
      <c r="AA48" s="386">
        <v>3874.44</v>
      </c>
      <c r="AB48" s="386">
        <v>942.1</v>
      </c>
      <c r="AC48" s="386">
        <v>3874.44</v>
      </c>
    </row>
    <row r="49">
      <c r="A49" s="41" t="str">
        <f>VLOOKUP(C49,'YTD Income Statement'!$F:$F,1,false)</f>
        <v>2321-6271</v>
      </c>
      <c r="B49" s="41" t="s">
        <v>963</v>
      </c>
      <c r="C49" s="41" t="s">
        <v>94</v>
      </c>
      <c r="D49" s="386" t="s">
        <v>35</v>
      </c>
      <c r="E49" s="386">
        <v>20000.0</v>
      </c>
      <c r="F49" s="386">
        <v>0.0</v>
      </c>
      <c r="G49" s="386">
        <v>1666.67</v>
      </c>
      <c r="H49" s="386">
        <v>0.0</v>
      </c>
      <c r="I49" s="386">
        <v>1666.67</v>
      </c>
      <c r="J49" s="386">
        <v>0.0</v>
      </c>
      <c r="K49" s="386">
        <v>1666.67</v>
      </c>
      <c r="L49" s="386">
        <v>0.0</v>
      </c>
      <c r="M49" s="386">
        <v>1666.67</v>
      </c>
      <c r="N49" s="386">
        <v>0.0</v>
      </c>
      <c r="O49" s="386">
        <v>1666.67</v>
      </c>
      <c r="P49" s="386">
        <v>0.0</v>
      </c>
      <c r="Q49" s="386">
        <v>1666.67</v>
      </c>
      <c r="R49" s="386">
        <v>0.0</v>
      </c>
      <c r="S49" s="386">
        <v>1666.67</v>
      </c>
      <c r="T49" s="386">
        <v>0.0</v>
      </c>
      <c r="U49" s="386">
        <v>1666.67</v>
      </c>
      <c r="V49" s="386">
        <v>0.0</v>
      </c>
      <c r="W49" s="386">
        <v>1666.67</v>
      </c>
      <c r="X49" s="386">
        <v>0.0</v>
      </c>
      <c r="Y49" s="386">
        <v>1666.67</v>
      </c>
      <c r="Z49" s="386">
        <v>0.0</v>
      </c>
      <c r="AA49" s="386">
        <v>1666.67</v>
      </c>
      <c r="AB49" s="386">
        <v>0.0</v>
      </c>
      <c r="AC49" s="386">
        <v>1666.67</v>
      </c>
    </row>
    <row r="50">
      <c r="A50" s="41" t="str">
        <f>VLOOKUP(C50,'YTD Income Statement'!$F:$F,1,false)</f>
        <v>2321-6319</v>
      </c>
      <c r="B50" s="41" t="s">
        <v>963</v>
      </c>
      <c r="C50" s="41" t="s">
        <v>95</v>
      </c>
      <c r="D50" s="386" t="s">
        <v>35</v>
      </c>
      <c r="E50" s="386">
        <v>483101.84</v>
      </c>
      <c r="F50" s="386">
        <v>0.0</v>
      </c>
      <c r="G50" s="386">
        <v>40258.49</v>
      </c>
      <c r="H50" s="386">
        <v>0.0</v>
      </c>
      <c r="I50" s="386">
        <v>40258.49</v>
      </c>
      <c r="J50" s="386">
        <v>0.0</v>
      </c>
      <c r="K50" s="386">
        <v>40258.49</v>
      </c>
      <c r="L50" s="386">
        <v>0.0</v>
      </c>
      <c r="M50" s="386">
        <v>40258.49</v>
      </c>
      <c r="N50" s="386">
        <v>0.0</v>
      </c>
      <c r="O50" s="386">
        <v>40258.49</v>
      </c>
      <c r="P50" s="386">
        <v>0.0</v>
      </c>
      <c r="Q50" s="386">
        <v>40258.49</v>
      </c>
      <c r="R50" s="386">
        <v>0.0</v>
      </c>
      <c r="S50" s="386">
        <v>40258.49</v>
      </c>
      <c r="T50" s="386">
        <v>0.0</v>
      </c>
      <c r="U50" s="386">
        <v>40258.49</v>
      </c>
      <c r="V50" s="386">
        <v>0.0</v>
      </c>
      <c r="W50" s="386">
        <v>40258.49</v>
      </c>
      <c r="X50" s="386">
        <v>0.0</v>
      </c>
      <c r="Y50" s="386">
        <v>40258.49</v>
      </c>
      <c r="Z50" s="386">
        <v>0.0</v>
      </c>
      <c r="AA50" s="386">
        <v>40258.49</v>
      </c>
      <c r="AB50" s="386">
        <v>0.0</v>
      </c>
      <c r="AC50" s="386">
        <v>40258.49</v>
      </c>
    </row>
    <row r="51">
      <c r="A51" s="41" t="str">
        <f>VLOOKUP(C51,'YTD Income Statement'!$F:$F,1,false)</f>
        <v>2321-6371</v>
      </c>
      <c r="B51" s="41" t="s">
        <v>963</v>
      </c>
      <c r="C51" s="41" t="s">
        <v>96</v>
      </c>
      <c r="D51" s="386" t="s">
        <v>35</v>
      </c>
      <c r="E51" s="386">
        <v>4620.0</v>
      </c>
      <c r="F51" s="386">
        <v>0.0</v>
      </c>
      <c r="G51" s="386">
        <v>0.0</v>
      </c>
      <c r="H51" s="386">
        <v>0.0</v>
      </c>
      <c r="I51" s="386">
        <v>0.0</v>
      </c>
      <c r="J51" s="386">
        <v>0.0</v>
      </c>
      <c r="K51" s="386">
        <v>0.0</v>
      </c>
      <c r="L51" s="386">
        <v>0.0</v>
      </c>
      <c r="M51" s="386">
        <v>0.0</v>
      </c>
      <c r="N51" s="386">
        <v>0.0</v>
      </c>
      <c r="O51" s="386">
        <v>4620.0</v>
      </c>
      <c r="P51" s="386">
        <v>0.0</v>
      </c>
      <c r="Q51" s="386">
        <v>0.0</v>
      </c>
      <c r="R51" s="386">
        <v>0.0</v>
      </c>
      <c r="S51" s="386">
        <v>0.0</v>
      </c>
      <c r="T51" s="386">
        <v>0.0</v>
      </c>
      <c r="U51" s="386">
        <v>0.0</v>
      </c>
      <c r="V51" s="386">
        <v>0.0</v>
      </c>
      <c r="W51" s="386">
        <v>0.0</v>
      </c>
      <c r="X51" s="386">
        <v>0.0</v>
      </c>
      <c r="Y51" s="386">
        <v>0.0</v>
      </c>
      <c r="Z51" s="386">
        <v>0.0</v>
      </c>
      <c r="AA51" s="386">
        <v>0.0</v>
      </c>
      <c r="AB51" s="386">
        <v>0.0</v>
      </c>
      <c r="AC51" s="386">
        <v>0.0</v>
      </c>
    </row>
    <row r="52">
      <c r="A52" s="41" t="str">
        <f>VLOOKUP(C52,'YTD Income Statement'!$F:$F,1,false)</f>
        <v>2321-6411</v>
      </c>
      <c r="B52" s="41" t="s">
        <v>963</v>
      </c>
      <c r="C52" s="41" t="s">
        <v>97</v>
      </c>
      <c r="D52" s="386" t="s">
        <v>35</v>
      </c>
      <c r="E52" s="386">
        <v>13306.16</v>
      </c>
      <c r="F52" s="386">
        <v>0.0</v>
      </c>
      <c r="G52" s="386">
        <v>0.0</v>
      </c>
      <c r="H52" s="386">
        <v>2300.0</v>
      </c>
      <c r="I52" s="386">
        <v>0.0</v>
      </c>
      <c r="J52" s="386">
        <v>0.0</v>
      </c>
      <c r="K52" s="386">
        <v>0.0</v>
      </c>
      <c r="L52" s="386">
        <v>0.0</v>
      </c>
      <c r="M52" s="386">
        <v>0.0</v>
      </c>
      <c r="N52" s="386">
        <v>0.0</v>
      </c>
      <c r="O52" s="386">
        <v>0.0</v>
      </c>
      <c r="P52" s="386">
        <v>0.0</v>
      </c>
      <c r="Q52" s="386">
        <v>0.0</v>
      </c>
      <c r="R52" s="386">
        <v>0.0</v>
      </c>
      <c r="S52" s="386">
        <v>0.0</v>
      </c>
      <c r="T52" s="386">
        <v>0.0</v>
      </c>
      <c r="U52" s="386">
        <v>0.0</v>
      </c>
      <c r="V52" s="386">
        <v>0.0</v>
      </c>
      <c r="W52" s="386">
        <v>0.0</v>
      </c>
      <c r="X52" s="386">
        <v>0.0</v>
      </c>
      <c r="Y52" s="386">
        <v>0.0</v>
      </c>
      <c r="Z52" s="386">
        <v>6631.16</v>
      </c>
      <c r="AA52" s="386">
        <v>125.0</v>
      </c>
      <c r="AB52" s="386">
        <v>4125.0</v>
      </c>
      <c r="AC52" s="386">
        <v>125.0</v>
      </c>
    </row>
    <row r="53">
      <c r="A53" s="41" t="str">
        <f>VLOOKUP(C53,'YTD Income Statement'!$F:$F,1,false)</f>
        <v>2323-6411</v>
      </c>
      <c r="B53" s="41" t="s">
        <v>962</v>
      </c>
      <c r="C53" s="41" t="s">
        <v>98</v>
      </c>
      <c r="D53" s="386" t="s">
        <v>35</v>
      </c>
      <c r="E53" s="386">
        <v>5232.0</v>
      </c>
      <c r="F53" s="386">
        <v>0.0</v>
      </c>
      <c r="G53" s="386">
        <v>0.0</v>
      </c>
      <c r="H53" s="386">
        <v>533.5</v>
      </c>
      <c r="I53" s="386">
        <v>67.5</v>
      </c>
      <c r="J53" s="386">
        <v>67.5</v>
      </c>
      <c r="K53" s="386">
        <v>67.5</v>
      </c>
      <c r="L53" s="386">
        <v>67.5</v>
      </c>
      <c r="M53" s="386">
        <v>67.5</v>
      </c>
      <c r="N53" s="386">
        <v>537.5</v>
      </c>
      <c r="O53" s="386">
        <v>67.5</v>
      </c>
      <c r="P53" s="386">
        <v>1267.5</v>
      </c>
      <c r="Q53" s="386">
        <v>1037.5</v>
      </c>
      <c r="R53" s="386">
        <v>0.0</v>
      </c>
      <c r="S53" s="386">
        <v>0.0</v>
      </c>
      <c r="T53" s="386">
        <v>67.5</v>
      </c>
      <c r="U53" s="386">
        <v>537.5</v>
      </c>
      <c r="V53" s="386">
        <v>67.5</v>
      </c>
      <c r="W53" s="386">
        <v>67.5</v>
      </c>
      <c r="X53" s="386">
        <v>67.5</v>
      </c>
      <c r="Y53" s="386">
        <v>67.5</v>
      </c>
      <c r="Z53" s="386">
        <v>67.5</v>
      </c>
      <c r="AA53" s="386">
        <v>67.5</v>
      </c>
      <c r="AB53" s="386">
        <v>67.5</v>
      </c>
      <c r="AC53" s="386">
        <v>373.5</v>
      </c>
    </row>
    <row r="54">
      <c r="A54" s="41" t="str">
        <f>VLOOKUP(C54,'YTD Income Statement'!$F:$F,1,false)</f>
        <v>2331-6316</v>
      </c>
      <c r="B54" s="41" t="s">
        <v>964</v>
      </c>
      <c r="C54" s="41" t="s">
        <v>99</v>
      </c>
      <c r="D54" s="386" t="s">
        <v>35</v>
      </c>
      <c r="E54" s="386">
        <v>48528.0</v>
      </c>
      <c r="F54" s="386">
        <v>0.0</v>
      </c>
      <c r="G54" s="386">
        <v>4044.0</v>
      </c>
      <c r="H54" s="386">
        <v>0.0</v>
      </c>
      <c r="I54" s="386">
        <v>4044.0</v>
      </c>
      <c r="J54" s="386">
        <v>0.0</v>
      </c>
      <c r="K54" s="386">
        <v>4044.0</v>
      </c>
      <c r="L54" s="386">
        <v>0.0</v>
      </c>
      <c r="M54" s="386">
        <v>4044.0</v>
      </c>
      <c r="N54" s="386">
        <v>0.0</v>
      </c>
      <c r="O54" s="386">
        <v>4044.0</v>
      </c>
      <c r="P54" s="386">
        <v>0.0</v>
      </c>
      <c r="Q54" s="386">
        <v>4044.0</v>
      </c>
      <c r="R54" s="386">
        <v>0.0</v>
      </c>
      <c r="S54" s="386">
        <v>4044.0</v>
      </c>
      <c r="T54" s="386">
        <v>0.0</v>
      </c>
      <c r="U54" s="386">
        <v>4044.0</v>
      </c>
      <c r="V54" s="386">
        <v>0.0</v>
      </c>
      <c r="W54" s="386">
        <v>4044.0</v>
      </c>
      <c r="X54" s="386">
        <v>0.0</v>
      </c>
      <c r="Y54" s="386">
        <v>4044.0</v>
      </c>
      <c r="Z54" s="386">
        <v>0.0</v>
      </c>
      <c r="AA54" s="386">
        <v>4044.0</v>
      </c>
      <c r="AB54" s="386">
        <v>0.0</v>
      </c>
      <c r="AC54" s="386">
        <v>4044.0</v>
      </c>
    </row>
    <row r="55">
      <c r="A55" s="41" t="str">
        <f>VLOOKUP(C55,'YTD Income Statement'!$F:$F,1,false)</f>
        <v>2331-6338</v>
      </c>
      <c r="B55" s="41" t="s">
        <v>964</v>
      </c>
      <c r="C55" s="41" t="s">
        <v>100</v>
      </c>
      <c r="D55" s="386" t="s">
        <v>35</v>
      </c>
      <c r="E55" s="386">
        <v>3186.0</v>
      </c>
      <c r="F55" s="386">
        <v>0.0</v>
      </c>
      <c r="G55" s="386">
        <v>265.5</v>
      </c>
      <c r="H55" s="386">
        <v>0.0</v>
      </c>
      <c r="I55" s="386">
        <v>265.5</v>
      </c>
      <c r="J55" s="386">
        <v>0.0</v>
      </c>
      <c r="K55" s="386">
        <v>265.5</v>
      </c>
      <c r="L55" s="386">
        <v>0.0</v>
      </c>
      <c r="M55" s="386">
        <v>265.5</v>
      </c>
      <c r="N55" s="386">
        <v>0.0</v>
      </c>
      <c r="O55" s="386">
        <v>265.5</v>
      </c>
      <c r="P55" s="386">
        <v>0.0</v>
      </c>
      <c r="Q55" s="386">
        <v>265.5</v>
      </c>
      <c r="R55" s="386">
        <v>0.0</v>
      </c>
      <c r="S55" s="386">
        <v>265.5</v>
      </c>
      <c r="T55" s="386">
        <v>0.0</v>
      </c>
      <c r="U55" s="386">
        <v>265.5</v>
      </c>
      <c r="V55" s="386">
        <v>0.0</v>
      </c>
      <c r="W55" s="386">
        <v>265.5</v>
      </c>
      <c r="X55" s="386">
        <v>0.0</v>
      </c>
      <c r="Y55" s="386">
        <v>265.5</v>
      </c>
      <c r="Z55" s="386">
        <v>0.0</v>
      </c>
      <c r="AA55" s="386">
        <v>265.5</v>
      </c>
      <c r="AB55" s="386">
        <v>0.0</v>
      </c>
      <c r="AC55" s="386">
        <v>265.5</v>
      </c>
    </row>
    <row r="56">
      <c r="A56" s="41" t="str">
        <f>VLOOKUP(C56,'YTD Income Statement'!$F:$F,1,false)</f>
        <v>#N/A</v>
      </c>
      <c r="B56" s="41" t="s">
        <v>963</v>
      </c>
      <c r="C56" s="41" t="s">
        <v>101</v>
      </c>
      <c r="D56" s="386" t="s">
        <v>35</v>
      </c>
      <c r="E56" s="386">
        <v>2032.8</v>
      </c>
      <c r="F56" s="386">
        <v>0.0</v>
      </c>
      <c r="G56" s="386">
        <v>169.4</v>
      </c>
      <c r="H56" s="386">
        <v>0.0</v>
      </c>
      <c r="I56" s="386">
        <v>169.4</v>
      </c>
      <c r="J56" s="386">
        <v>0.0</v>
      </c>
      <c r="K56" s="386">
        <v>169.4</v>
      </c>
      <c r="L56" s="386">
        <v>0.0</v>
      </c>
      <c r="M56" s="386">
        <v>169.4</v>
      </c>
      <c r="N56" s="386">
        <v>0.0</v>
      </c>
      <c r="O56" s="386">
        <v>169.4</v>
      </c>
      <c r="P56" s="386">
        <v>0.0</v>
      </c>
      <c r="Q56" s="386">
        <v>169.4</v>
      </c>
      <c r="R56" s="386">
        <v>0.0</v>
      </c>
      <c r="S56" s="386">
        <v>169.4</v>
      </c>
      <c r="T56" s="386">
        <v>0.0</v>
      </c>
      <c r="U56" s="386">
        <v>169.4</v>
      </c>
      <c r="V56" s="386">
        <v>0.0</v>
      </c>
      <c r="W56" s="386">
        <v>169.4</v>
      </c>
      <c r="X56" s="386">
        <v>0.0</v>
      </c>
      <c r="Y56" s="386">
        <v>169.4</v>
      </c>
      <c r="Z56" s="386">
        <v>0.0</v>
      </c>
      <c r="AA56" s="386">
        <v>169.4</v>
      </c>
      <c r="AB56" s="386">
        <v>0.0</v>
      </c>
      <c r="AC56" s="386">
        <v>169.4</v>
      </c>
    </row>
    <row r="57">
      <c r="A57" s="41" t="str">
        <f>VLOOKUP(C57,'YTD Income Statement'!$F:$F,1,false)</f>
        <v>2331-6412</v>
      </c>
      <c r="B57" s="41" t="s">
        <v>963</v>
      </c>
      <c r="C57" s="41" t="s">
        <v>102</v>
      </c>
      <c r="D57" s="386" t="s">
        <v>35</v>
      </c>
      <c r="E57" s="386">
        <v>62758.0</v>
      </c>
      <c r="F57" s="386">
        <v>0.0</v>
      </c>
      <c r="G57" s="386">
        <v>0.0</v>
      </c>
      <c r="H57" s="386">
        <v>46333.0</v>
      </c>
      <c r="I57" s="386">
        <v>0.0</v>
      </c>
      <c r="J57" s="386">
        <v>0.0</v>
      </c>
      <c r="K57" s="386">
        <v>0.0</v>
      </c>
      <c r="L57" s="386">
        <v>0.0</v>
      </c>
      <c r="M57" s="386">
        <v>0.0</v>
      </c>
      <c r="N57" s="386">
        <v>0.0</v>
      </c>
      <c r="O57" s="386">
        <v>0.0</v>
      </c>
      <c r="P57" s="386">
        <v>0.0</v>
      </c>
      <c r="Q57" s="386">
        <v>15000.0</v>
      </c>
      <c r="R57" s="386">
        <v>0.0</v>
      </c>
      <c r="S57" s="386">
        <v>0.0</v>
      </c>
      <c r="T57" s="386">
        <v>0.0</v>
      </c>
      <c r="U57" s="386">
        <v>0.0</v>
      </c>
      <c r="V57" s="386">
        <v>0.0</v>
      </c>
      <c r="W57" s="386">
        <v>0.0</v>
      </c>
      <c r="X57" s="386">
        <v>0.0</v>
      </c>
      <c r="Y57" s="386">
        <v>0.0</v>
      </c>
      <c r="Z57" s="386">
        <v>0.0</v>
      </c>
      <c r="AA57" s="386">
        <v>0.0</v>
      </c>
      <c r="AB57" s="386">
        <v>1425.0</v>
      </c>
      <c r="AC57" s="386">
        <v>0.0</v>
      </c>
    </row>
    <row r="58">
      <c r="A58" s="41" t="str">
        <f>VLOOKUP(C58,'YTD Income Statement'!$F:$F,1,false)</f>
        <v>2511-6319</v>
      </c>
      <c r="B58" s="41" t="s">
        <v>963</v>
      </c>
      <c r="C58" s="41" t="s">
        <v>103</v>
      </c>
      <c r="D58" s="386" t="s">
        <v>35</v>
      </c>
      <c r="E58" s="386">
        <v>119950.04</v>
      </c>
      <c r="F58" s="386">
        <v>0.0</v>
      </c>
      <c r="G58" s="386">
        <v>23989.3</v>
      </c>
      <c r="H58" s="386">
        <v>23113.4</v>
      </c>
      <c r="I58" s="386">
        <v>6039.3</v>
      </c>
      <c r="J58" s="386">
        <v>5250.0</v>
      </c>
      <c r="K58" s="386">
        <v>6039.3</v>
      </c>
      <c r="L58" s="386">
        <v>0.0</v>
      </c>
      <c r="M58" s="386">
        <v>6039.3</v>
      </c>
      <c r="N58" s="386">
        <v>0.0</v>
      </c>
      <c r="O58" s="386">
        <v>6039.3</v>
      </c>
      <c r="P58" s="386">
        <v>0.0</v>
      </c>
      <c r="Q58" s="386">
        <v>6039.3</v>
      </c>
      <c r="R58" s="386">
        <v>0.0</v>
      </c>
      <c r="S58" s="386">
        <v>6039.3</v>
      </c>
      <c r="T58" s="386">
        <v>0.0</v>
      </c>
      <c r="U58" s="386">
        <v>6039.3</v>
      </c>
      <c r="V58" s="386">
        <v>0.0</v>
      </c>
      <c r="W58" s="386">
        <v>7039.3</v>
      </c>
      <c r="X58" s="386">
        <v>0.0</v>
      </c>
      <c r="Y58" s="386">
        <v>6039.3</v>
      </c>
      <c r="Z58" s="386">
        <v>165.0</v>
      </c>
      <c r="AA58" s="386">
        <v>6039.3</v>
      </c>
      <c r="AB58" s="386">
        <v>0.0</v>
      </c>
      <c r="AC58" s="386">
        <v>6039.3</v>
      </c>
    </row>
    <row r="59">
      <c r="A59" s="41" t="str">
        <f>VLOOKUP(C59,'YTD Income Statement'!$F:$F,1,false)</f>
        <v>#N/A</v>
      </c>
      <c r="B59" s="41" t="s">
        <v>963</v>
      </c>
      <c r="C59" s="41" t="s">
        <v>104</v>
      </c>
      <c r="D59" s="386" t="s">
        <v>35</v>
      </c>
      <c r="E59" s="386">
        <v>1000.0</v>
      </c>
      <c r="F59" s="386">
        <v>41.67</v>
      </c>
      <c r="G59" s="386">
        <v>41.67</v>
      </c>
      <c r="H59" s="386">
        <v>41.67</v>
      </c>
      <c r="I59" s="386">
        <v>41.67</v>
      </c>
      <c r="J59" s="386">
        <v>41.67</v>
      </c>
      <c r="K59" s="386">
        <v>41.67</v>
      </c>
      <c r="L59" s="386">
        <v>41.67</v>
      </c>
      <c r="M59" s="386">
        <v>41.67</v>
      </c>
      <c r="N59" s="386">
        <v>41.67</v>
      </c>
      <c r="O59" s="386">
        <v>41.67</v>
      </c>
      <c r="P59" s="386">
        <v>41.67</v>
      </c>
      <c r="Q59" s="386">
        <v>41.67</v>
      </c>
      <c r="R59" s="386">
        <v>41.67</v>
      </c>
      <c r="S59" s="386">
        <v>41.67</v>
      </c>
      <c r="T59" s="386">
        <v>41.67</v>
      </c>
      <c r="U59" s="386">
        <v>41.67</v>
      </c>
      <c r="V59" s="386">
        <v>41.67</v>
      </c>
      <c r="W59" s="386">
        <v>41.67</v>
      </c>
      <c r="X59" s="386">
        <v>41.67</v>
      </c>
      <c r="Y59" s="386">
        <v>41.67</v>
      </c>
      <c r="Z59" s="386">
        <v>41.67</v>
      </c>
      <c r="AA59" s="386">
        <v>41.67</v>
      </c>
      <c r="AB59" s="386">
        <v>41.67</v>
      </c>
      <c r="AC59" s="386">
        <v>41.67</v>
      </c>
    </row>
    <row r="60">
      <c r="A60" s="41" t="str">
        <f>VLOOKUP(C60,'YTD Income Statement'!$F:$F,1,false)</f>
        <v>2542-6332</v>
      </c>
      <c r="B60" s="41" t="s">
        <v>964</v>
      </c>
      <c r="C60" s="41" t="s">
        <v>105</v>
      </c>
      <c r="D60" s="386" t="s">
        <v>35</v>
      </c>
      <c r="E60" s="386">
        <v>4350.0</v>
      </c>
      <c r="F60" s="386">
        <v>72.92</v>
      </c>
      <c r="G60" s="386">
        <v>72.92</v>
      </c>
      <c r="H60" s="386">
        <v>2672.92</v>
      </c>
      <c r="I60" s="386">
        <v>72.92</v>
      </c>
      <c r="J60" s="386">
        <v>72.92</v>
      </c>
      <c r="K60" s="386">
        <v>72.92</v>
      </c>
      <c r="L60" s="386">
        <v>72.92</v>
      </c>
      <c r="M60" s="386">
        <v>72.92</v>
      </c>
      <c r="N60" s="386">
        <v>72.92</v>
      </c>
      <c r="O60" s="386">
        <v>72.92</v>
      </c>
      <c r="P60" s="386">
        <v>72.92</v>
      </c>
      <c r="Q60" s="386">
        <v>72.92</v>
      </c>
      <c r="R60" s="386">
        <v>72.92</v>
      </c>
      <c r="S60" s="386">
        <v>72.92</v>
      </c>
      <c r="T60" s="386">
        <v>72.92</v>
      </c>
      <c r="U60" s="386">
        <v>72.92</v>
      </c>
      <c r="V60" s="386">
        <v>72.92</v>
      </c>
      <c r="W60" s="386">
        <v>72.92</v>
      </c>
      <c r="X60" s="386">
        <v>72.92</v>
      </c>
      <c r="Y60" s="386">
        <v>72.92</v>
      </c>
      <c r="Z60" s="386">
        <v>72.92</v>
      </c>
      <c r="AA60" s="386">
        <v>72.92</v>
      </c>
      <c r="AB60" s="386">
        <v>72.92</v>
      </c>
      <c r="AC60" s="386">
        <v>72.92</v>
      </c>
    </row>
    <row r="61">
      <c r="A61" s="41" t="str">
        <f>VLOOKUP(C61,'YTD Income Statement'!$F:$F,1,false)</f>
        <v>2542-6333</v>
      </c>
      <c r="B61" s="41" t="s">
        <v>965</v>
      </c>
      <c r="C61" s="41" t="s">
        <v>106</v>
      </c>
      <c r="D61" s="386" t="s">
        <v>35</v>
      </c>
      <c r="E61" s="386">
        <v>694753.0</v>
      </c>
      <c r="F61" s="386">
        <v>57896.08</v>
      </c>
      <c r="G61" s="386">
        <v>0.0</v>
      </c>
      <c r="H61" s="386">
        <v>57896.08</v>
      </c>
      <c r="I61" s="386">
        <v>0.0</v>
      </c>
      <c r="J61" s="386">
        <v>57896.08</v>
      </c>
      <c r="K61" s="386">
        <v>0.0</v>
      </c>
      <c r="L61" s="386">
        <v>57896.08</v>
      </c>
      <c r="M61" s="386">
        <v>0.0</v>
      </c>
      <c r="N61" s="386">
        <v>57896.08</v>
      </c>
      <c r="O61" s="386">
        <v>0.0</v>
      </c>
      <c r="P61" s="386">
        <v>57896.08</v>
      </c>
      <c r="Q61" s="386">
        <v>0.0</v>
      </c>
      <c r="R61" s="386">
        <v>57896.08</v>
      </c>
      <c r="S61" s="386">
        <v>0.0</v>
      </c>
      <c r="T61" s="386">
        <v>57896.08</v>
      </c>
      <c r="U61" s="386">
        <v>0.0</v>
      </c>
      <c r="V61" s="386">
        <v>57896.08</v>
      </c>
      <c r="W61" s="386">
        <v>0.0</v>
      </c>
      <c r="X61" s="386">
        <v>57896.08</v>
      </c>
      <c r="Y61" s="386">
        <v>0.0</v>
      </c>
      <c r="Z61" s="386">
        <v>57896.08</v>
      </c>
      <c r="AA61" s="386">
        <v>0.0</v>
      </c>
      <c r="AB61" s="386">
        <v>57896.08</v>
      </c>
      <c r="AC61" s="386">
        <v>0.0</v>
      </c>
    </row>
    <row r="62">
      <c r="A62" s="41" t="str">
        <f>VLOOKUP(C62,'YTD Income Statement'!$F:$F,1,false)</f>
        <v>2542-6411</v>
      </c>
      <c r="B62" s="41" t="s">
        <v>964</v>
      </c>
      <c r="C62" s="41" t="s">
        <v>107</v>
      </c>
      <c r="D62" s="386" t="s">
        <v>35</v>
      </c>
      <c r="E62" s="386">
        <v>602121.32</v>
      </c>
      <c r="F62" s="386">
        <v>0.0</v>
      </c>
      <c r="G62" s="386">
        <v>0.0</v>
      </c>
      <c r="H62" s="386">
        <v>0.0</v>
      </c>
      <c r="I62" s="386">
        <v>527421.32</v>
      </c>
      <c r="J62" s="386">
        <v>0.0</v>
      </c>
      <c r="K62" s="386">
        <v>0.0</v>
      </c>
      <c r="L62" s="386">
        <v>0.0</v>
      </c>
      <c r="M62" s="386">
        <v>0.0</v>
      </c>
      <c r="N62" s="386">
        <v>0.0</v>
      </c>
      <c r="O62" s="386">
        <v>0.0</v>
      </c>
      <c r="P62" s="386">
        <v>0.0</v>
      </c>
      <c r="Q62" s="386">
        <v>0.0</v>
      </c>
      <c r="R62" s="386">
        <v>0.0</v>
      </c>
      <c r="S62" s="386">
        <v>0.0</v>
      </c>
      <c r="T62" s="386">
        <v>0.0</v>
      </c>
      <c r="U62" s="386">
        <v>0.0</v>
      </c>
      <c r="V62" s="386">
        <v>0.0</v>
      </c>
      <c r="W62" s="386">
        <v>0.0</v>
      </c>
      <c r="X62" s="386">
        <v>0.0</v>
      </c>
      <c r="Y62" s="386">
        <v>0.0</v>
      </c>
      <c r="Z62" s="386">
        <v>0.0</v>
      </c>
      <c r="AA62" s="386">
        <v>0.0</v>
      </c>
      <c r="AB62" s="386">
        <v>74700.0</v>
      </c>
      <c r="AC62" s="386">
        <v>0.0</v>
      </c>
    </row>
    <row r="63">
      <c r="A63" s="41" t="str">
        <f>VLOOKUP(C63,'YTD Income Statement'!$F:$F,1,false)</f>
        <v>#N/A</v>
      </c>
      <c r="B63" s="41" t="s">
        <v>964</v>
      </c>
      <c r="C63" s="41" t="s">
        <v>108</v>
      </c>
      <c r="D63" s="386" t="s">
        <v>35</v>
      </c>
      <c r="E63" s="386">
        <v>100.0</v>
      </c>
      <c r="F63" s="386">
        <v>0.0</v>
      </c>
      <c r="G63" s="386">
        <v>0.0</v>
      </c>
      <c r="H63" s="386">
        <v>100.0</v>
      </c>
      <c r="I63" s="386">
        <v>0.0</v>
      </c>
      <c r="J63" s="386">
        <v>0.0</v>
      </c>
      <c r="K63" s="386">
        <v>0.0</v>
      </c>
      <c r="L63" s="386">
        <v>0.0</v>
      </c>
      <c r="M63" s="386">
        <v>0.0</v>
      </c>
      <c r="N63" s="386">
        <v>0.0</v>
      </c>
      <c r="O63" s="386">
        <v>0.0</v>
      </c>
      <c r="P63" s="386">
        <v>0.0</v>
      </c>
      <c r="Q63" s="386">
        <v>0.0</v>
      </c>
      <c r="R63" s="386">
        <v>0.0</v>
      </c>
      <c r="S63" s="386">
        <v>0.0</v>
      </c>
      <c r="T63" s="386">
        <v>0.0</v>
      </c>
      <c r="U63" s="386">
        <v>0.0</v>
      </c>
      <c r="V63" s="386">
        <v>0.0</v>
      </c>
      <c r="W63" s="386">
        <v>0.0</v>
      </c>
      <c r="X63" s="386">
        <v>0.0</v>
      </c>
      <c r="Y63" s="386">
        <v>0.0</v>
      </c>
      <c r="Z63" s="386">
        <v>0.0</v>
      </c>
      <c r="AA63" s="386">
        <v>0.0</v>
      </c>
      <c r="AB63" s="386">
        <v>0.0</v>
      </c>
      <c r="AC63" s="386">
        <v>0.0</v>
      </c>
    </row>
    <row r="64">
      <c r="A64" s="41" t="str">
        <f>VLOOKUP(C64,'YTD Income Statement'!$F:$F,1,false)</f>
        <v>#N/A</v>
      </c>
      <c r="B64" s="41" t="s">
        <v>964</v>
      </c>
      <c r="C64" s="41" t="s">
        <v>109</v>
      </c>
      <c r="D64" s="386" t="s">
        <v>35</v>
      </c>
      <c r="E64" s="386">
        <v>1800.0</v>
      </c>
      <c r="F64" s="386">
        <v>0.0</v>
      </c>
      <c r="G64" s="386">
        <v>0.0</v>
      </c>
      <c r="H64" s="386">
        <v>1800.0</v>
      </c>
      <c r="I64" s="386">
        <v>0.0</v>
      </c>
      <c r="J64" s="386">
        <v>0.0</v>
      </c>
      <c r="K64" s="386">
        <v>0.0</v>
      </c>
      <c r="L64" s="386">
        <v>0.0</v>
      </c>
      <c r="M64" s="386">
        <v>0.0</v>
      </c>
      <c r="N64" s="386">
        <v>0.0</v>
      </c>
      <c r="O64" s="386">
        <v>0.0</v>
      </c>
      <c r="P64" s="386">
        <v>0.0</v>
      </c>
      <c r="Q64" s="386">
        <v>0.0</v>
      </c>
      <c r="R64" s="386">
        <v>0.0</v>
      </c>
      <c r="S64" s="386">
        <v>0.0</v>
      </c>
      <c r="T64" s="386">
        <v>0.0</v>
      </c>
      <c r="U64" s="386">
        <v>0.0</v>
      </c>
      <c r="V64" s="386">
        <v>0.0</v>
      </c>
      <c r="W64" s="386">
        <v>0.0</v>
      </c>
      <c r="X64" s="386">
        <v>0.0</v>
      </c>
      <c r="Y64" s="386">
        <v>0.0</v>
      </c>
      <c r="Z64" s="386">
        <v>0.0</v>
      </c>
      <c r="AA64" s="386">
        <v>0.0</v>
      </c>
      <c r="AB64" s="386">
        <v>0.0</v>
      </c>
      <c r="AC64" s="386">
        <v>0.0</v>
      </c>
    </row>
    <row r="65">
      <c r="A65" s="41" t="str">
        <f>VLOOKUP(C65,'YTD Income Statement'!$F:$F,1,false)</f>
        <v>#N/A</v>
      </c>
      <c r="B65" s="41" t="s">
        <v>966</v>
      </c>
      <c r="C65" s="41" t="s">
        <v>110</v>
      </c>
      <c r="D65" s="386" t="s">
        <v>35</v>
      </c>
      <c r="E65" s="386">
        <v>2812.0</v>
      </c>
      <c r="F65" s="386">
        <v>0.0</v>
      </c>
      <c r="G65" s="386">
        <v>234.33</v>
      </c>
      <c r="H65" s="386">
        <v>0.0</v>
      </c>
      <c r="I65" s="386">
        <v>234.33</v>
      </c>
      <c r="J65" s="386">
        <v>0.0</v>
      </c>
      <c r="K65" s="386">
        <v>234.33</v>
      </c>
      <c r="L65" s="386">
        <v>0.0</v>
      </c>
      <c r="M65" s="386">
        <v>234.33</v>
      </c>
      <c r="N65" s="386">
        <v>0.0</v>
      </c>
      <c r="O65" s="386">
        <v>234.33</v>
      </c>
      <c r="P65" s="386">
        <v>0.0</v>
      </c>
      <c r="Q65" s="386">
        <v>234.33</v>
      </c>
      <c r="R65" s="386">
        <v>0.0</v>
      </c>
      <c r="S65" s="386">
        <v>234.33</v>
      </c>
      <c r="T65" s="386">
        <v>0.0</v>
      </c>
      <c r="U65" s="386">
        <v>234.33</v>
      </c>
      <c r="V65" s="386">
        <v>0.0</v>
      </c>
      <c r="W65" s="386">
        <v>234.33</v>
      </c>
      <c r="X65" s="386">
        <v>0.0</v>
      </c>
      <c r="Y65" s="386">
        <v>234.33</v>
      </c>
      <c r="Z65" s="386">
        <v>0.0</v>
      </c>
      <c r="AA65" s="386">
        <v>234.33</v>
      </c>
      <c r="AB65" s="386">
        <v>0.0</v>
      </c>
      <c r="AC65" s="386">
        <v>234.33</v>
      </c>
    </row>
    <row r="66">
      <c r="A66" s="41" t="str">
        <f>VLOOKUP(C66,'YTD Income Statement'!$F:$F,1,false)</f>
        <v>2551-6342</v>
      </c>
      <c r="B66" s="41" t="s">
        <v>966</v>
      </c>
      <c r="C66" s="41" t="s">
        <v>111</v>
      </c>
      <c r="D66" s="386" t="s">
        <v>35</v>
      </c>
      <c r="E66" s="386">
        <v>5940.0</v>
      </c>
      <c r="F66" s="386">
        <v>0.0</v>
      </c>
      <c r="G66" s="386">
        <v>495.0</v>
      </c>
      <c r="H66" s="386">
        <v>0.0</v>
      </c>
      <c r="I66" s="386">
        <v>495.0</v>
      </c>
      <c r="J66" s="386">
        <v>0.0</v>
      </c>
      <c r="K66" s="386">
        <v>495.0</v>
      </c>
      <c r="L66" s="386">
        <v>0.0</v>
      </c>
      <c r="M66" s="386">
        <v>495.0</v>
      </c>
      <c r="N66" s="386">
        <v>0.0</v>
      </c>
      <c r="O66" s="386">
        <v>495.0</v>
      </c>
      <c r="P66" s="386">
        <v>0.0</v>
      </c>
      <c r="Q66" s="386">
        <v>495.0</v>
      </c>
      <c r="R66" s="386">
        <v>0.0</v>
      </c>
      <c r="S66" s="386">
        <v>495.0</v>
      </c>
      <c r="T66" s="386">
        <v>0.0</v>
      </c>
      <c r="U66" s="386">
        <v>495.0</v>
      </c>
      <c r="V66" s="386">
        <v>0.0</v>
      </c>
      <c r="W66" s="386">
        <v>495.0</v>
      </c>
      <c r="X66" s="386">
        <v>0.0</v>
      </c>
      <c r="Y66" s="386">
        <v>495.0</v>
      </c>
      <c r="Z66" s="386">
        <v>0.0</v>
      </c>
      <c r="AA66" s="386">
        <v>495.0</v>
      </c>
      <c r="AB66" s="386">
        <v>0.0</v>
      </c>
      <c r="AC66" s="386">
        <v>495.0</v>
      </c>
    </row>
    <row r="67">
      <c r="A67" s="41" t="str">
        <f>VLOOKUP(C67,'YTD Income Statement'!$F:$F,1,false)</f>
        <v>2562-6319</v>
      </c>
      <c r="B67" s="41" t="s">
        <v>964</v>
      </c>
      <c r="C67" s="41" t="s">
        <v>112</v>
      </c>
      <c r="D67" s="386" t="s">
        <v>35</v>
      </c>
      <c r="E67" s="386">
        <v>7.0</v>
      </c>
      <c r="F67" s="386">
        <v>0.0</v>
      </c>
      <c r="G67" s="386">
        <v>7.0</v>
      </c>
      <c r="H67" s="386">
        <v>0.0</v>
      </c>
      <c r="I67" s="386">
        <v>0.0</v>
      </c>
      <c r="J67" s="386">
        <v>0.0</v>
      </c>
      <c r="K67" s="386">
        <v>0.0</v>
      </c>
      <c r="L67" s="386">
        <v>0.0</v>
      </c>
      <c r="M67" s="386">
        <v>0.0</v>
      </c>
      <c r="N67" s="386">
        <v>0.0</v>
      </c>
      <c r="O67" s="386">
        <v>0.0</v>
      </c>
      <c r="P67" s="386">
        <v>0.0</v>
      </c>
      <c r="Q67" s="386">
        <v>0.0</v>
      </c>
      <c r="R67" s="386">
        <v>0.0</v>
      </c>
      <c r="S67" s="386">
        <v>0.0</v>
      </c>
      <c r="T67" s="386">
        <v>0.0</v>
      </c>
      <c r="U67" s="386">
        <v>0.0</v>
      </c>
      <c r="V67" s="386">
        <v>0.0</v>
      </c>
      <c r="W67" s="386">
        <v>0.0</v>
      </c>
      <c r="X67" s="386">
        <v>0.0</v>
      </c>
      <c r="Y67" s="386">
        <v>0.0</v>
      </c>
      <c r="Z67" s="386">
        <v>0.0</v>
      </c>
      <c r="AA67" s="386">
        <v>0.0</v>
      </c>
      <c r="AB67" s="386">
        <v>0.0</v>
      </c>
      <c r="AC67" s="386">
        <v>0.0</v>
      </c>
    </row>
    <row r="68">
      <c r="A68" s="41" t="str">
        <f>VLOOKUP(C68,'YTD Income Statement'!$F:$F,1,false)</f>
        <v>2562-6411</v>
      </c>
      <c r="B68" s="41" t="s">
        <v>961</v>
      </c>
      <c r="C68" s="41" t="s">
        <v>113</v>
      </c>
      <c r="D68" s="386" t="s">
        <v>35</v>
      </c>
      <c r="E68" s="386">
        <v>1488.1</v>
      </c>
      <c r="F68" s="386">
        <v>0.0</v>
      </c>
      <c r="G68" s="386">
        <v>744.05</v>
      </c>
      <c r="H68" s="386">
        <v>0.0</v>
      </c>
      <c r="I68" s="386">
        <v>0.0</v>
      </c>
      <c r="J68" s="386">
        <v>0.0</v>
      </c>
      <c r="K68" s="386">
        <v>0.0</v>
      </c>
      <c r="L68" s="386">
        <v>0.0</v>
      </c>
      <c r="M68" s="386">
        <v>0.0</v>
      </c>
      <c r="N68" s="386">
        <v>0.0</v>
      </c>
      <c r="O68" s="386">
        <v>0.0</v>
      </c>
      <c r="P68" s="386">
        <v>0.0</v>
      </c>
      <c r="Q68" s="386">
        <v>0.0</v>
      </c>
      <c r="R68" s="386">
        <v>0.0</v>
      </c>
      <c r="S68" s="386">
        <v>744.05</v>
      </c>
      <c r="T68" s="386">
        <v>0.0</v>
      </c>
      <c r="U68" s="386">
        <v>0.0</v>
      </c>
      <c r="V68" s="386">
        <v>0.0</v>
      </c>
      <c r="W68" s="386">
        <v>0.0</v>
      </c>
      <c r="X68" s="386">
        <v>0.0</v>
      </c>
      <c r="Y68" s="386">
        <v>0.0</v>
      </c>
      <c r="Z68" s="386">
        <v>0.0</v>
      </c>
      <c r="AA68" s="386">
        <v>0.0</v>
      </c>
      <c r="AB68" s="386">
        <v>0.0</v>
      </c>
      <c r="AC68" s="386">
        <v>0.0</v>
      </c>
    </row>
    <row r="69">
      <c r="A69" s="41" t="str">
        <f>VLOOKUP(C69,'YTD Income Statement'!$F:$F,1,false)</f>
        <v>#N/A</v>
      </c>
      <c r="B69" s="41" t="s">
        <v>961</v>
      </c>
      <c r="C69" s="41" t="s">
        <v>114</v>
      </c>
      <c r="D69" s="386" t="s">
        <v>35</v>
      </c>
      <c r="E69" s="386">
        <v>8145.0</v>
      </c>
      <c r="F69" s="386">
        <v>0.0</v>
      </c>
      <c r="G69" s="386">
        <v>678.75</v>
      </c>
      <c r="H69" s="386">
        <v>0.0</v>
      </c>
      <c r="I69" s="386">
        <v>678.75</v>
      </c>
      <c r="J69" s="386">
        <v>0.0</v>
      </c>
      <c r="K69" s="386">
        <v>678.75</v>
      </c>
      <c r="L69" s="386">
        <v>0.0</v>
      </c>
      <c r="M69" s="386">
        <v>678.75</v>
      </c>
      <c r="N69" s="386">
        <v>0.0</v>
      </c>
      <c r="O69" s="386">
        <v>678.75</v>
      </c>
      <c r="P69" s="386">
        <v>0.0</v>
      </c>
      <c r="Q69" s="386">
        <v>678.75</v>
      </c>
      <c r="R69" s="386">
        <v>0.0</v>
      </c>
      <c r="S69" s="386">
        <v>678.75</v>
      </c>
      <c r="T69" s="386">
        <v>0.0</v>
      </c>
      <c r="U69" s="386">
        <v>678.75</v>
      </c>
      <c r="V69" s="386">
        <v>0.0</v>
      </c>
      <c r="W69" s="386">
        <v>678.75</v>
      </c>
      <c r="X69" s="386">
        <v>0.0</v>
      </c>
      <c r="Y69" s="386">
        <v>678.75</v>
      </c>
      <c r="Z69" s="386">
        <v>0.0</v>
      </c>
      <c r="AA69" s="386">
        <v>678.75</v>
      </c>
      <c r="AB69" s="386">
        <v>0.0</v>
      </c>
      <c r="AC69" s="386">
        <v>678.75</v>
      </c>
    </row>
    <row r="70">
      <c r="A70" s="41" t="str">
        <f>VLOOKUP(C70,'YTD Income Statement'!$F:$F,1,false)</f>
        <v>2563-6391</v>
      </c>
      <c r="B70" s="41" t="s">
        <v>961</v>
      </c>
      <c r="C70" s="41" t="s">
        <v>115</v>
      </c>
      <c r="D70" s="386" t="s">
        <v>35</v>
      </c>
      <c r="E70" s="386">
        <v>119455.0</v>
      </c>
      <c r="F70" s="386">
        <v>0.0</v>
      </c>
      <c r="G70" s="386">
        <v>9954.58</v>
      </c>
      <c r="H70" s="386">
        <v>0.0</v>
      </c>
      <c r="I70" s="386">
        <v>9954.58</v>
      </c>
      <c r="J70" s="386">
        <v>0.0</v>
      </c>
      <c r="K70" s="386">
        <v>9954.58</v>
      </c>
      <c r="L70" s="386">
        <v>0.0</v>
      </c>
      <c r="M70" s="386">
        <v>9954.58</v>
      </c>
      <c r="N70" s="386">
        <v>0.0</v>
      </c>
      <c r="O70" s="386">
        <v>9954.58</v>
      </c>
      <c r="P70" s="386">
        <v>0.0</v>
      </c>
      <c r="Q70" s="386">
        <v>9954.58</v>
      </c>
      <c r="R70" s="386">
        <v>0.0</v>
      </c>
      <c r="S70" s="386">
        <v>9954.58</v>
      </c>
      <c r="T70" s="386">
        <v>0.0</v>
      </c>
      <c r="U70" s="386">
        <v>9954.58</v>
      </c>
      <c r="V70" s="386">
        <v>0.0</v>
      </c>
      <c r="W70" s="386">
        <v>9954.58</v>
      </c>
      <c r="X70" s="386">
        <v>0.0</v>
      </c>
      <c r="Y70" s="386">
        <v>9954.58</v>
      </c>
      <c r="Z70" s="386">
        <v>0.0</v>
      </c>
      <c r="AA70" s="386">
        <v>9954.58</v>
      </c>
      <c r="AB70" s="386">
        <v>0.0</v>
      </c>
      <c r="AC70" s="386">
        <v>9954.58</v>
      </c>
    </row>
    <row r="71">
      <c r="A71" s="41" t="str">
        <f>VLOOKUP(C71,'YTD Income Statement'!$F:$F,1,false)</f>
        <v>2911-6319</v>
      </c>
      <c r="B71" s="41" t="s">
        <v>961</v>
      </c>
      <c r="C71" s="41" t="s">
        <v>116</v>
      </c>
      <c r="D71" s="386" t="s">
        <v>35</v>
      </c>
      <c r="E71" s="386">
        <v>254900.76</v>
      </c>
      <c r="F71" s="386">
        <v>0.0</v>
      </c>
      <c r="G71" s="386">
        <v>21241.73</v>
      </c>
      <c r="H71" s="386">
        <v>0.0</v>
      </c>
      <c r="I71" s="386">
        <v>21241.73</v>
      </c>
      <c r="J71" s="386">
        <v>0.0</v>
      </c>
      <c r="K71" s="386">
        <v>21241.73</v>
      </c>
      <c r="L71" s="386">
        <v>0.0</v>
      </c>
      <c r="M71" s="386">
        <v>21241.73</v>
      </c>
      <c r="N71" s="386">
        <v>0.0</v>
      </c>
      <c r="O71" s="386">
        <v>21241.73</v>
      </c>
      <c r="P71" s="386">
        <v>0.0</v>
      </c>
      <c r="Q71" s="386">
        <v>21241.73</v>
      </c>
      <c r="R71" s="386">
        <v>0.0</v>
      </c>
      <c r="S71" s="386">
        <v>21241.73</v>
      </c>
      <c r="T71" s="386">
        <v>0.0</v>
      </c>
      <c r="U71" s="386">
        <v>21241.73</v>
      </c>
      <c r="V71" s="386">
        <v>0.0</v>
      </c>
      <c r="W71" s="386">
        <v>21241.73</v>
      </c>
      <c r="X71" s="386">
        <v>0.0</v>
      </c>
      <c r="Y71" s="386">
        <v>21241.73</v>
      </c>
      <c r="Z71" s="386">
        <v>0.0</v>
      </c>
      <c r="AA71" s="386">
        <v>21241.73</v>
      </c>
      <c r="AB71" s="386">
        <v>0.0</v>
      </c>
      <c r="AC71" s="386">
        <v>21241.73</v>
      </c>
    </row>
    <row r="72">
      <c r="A72" s="41" t="str">
        <f>VLOOKUP(C72,'YTD Income Statement'!$F:$F,1,false)</f>
        <v>0000-5141</v>
      </c>
      <c r="B72" s="41" t="s">
        <v>954</v>
      </c>
      <c r="C72" s="41" t="s">
        <v>117</v>
      </c>
      <c r="D72" s="43" t="s">
        <v>36</v>
      </c>
      <c r="E72" s="386">
        <v>0.0</v>
      </c>
      <c r="F72" s="386">
        <v>0.0</v>
      </c>
      <c r="G72" s="386">
        <v>0.0</v>
      </c>
      <c r="H72" s="386">
        <v>0.0</v>
      </c>
      <c r="I72" s="386">
        <v>0.0</v>
      </c>
      <c r="J72" s="386">
        <v>0.0</v>
      </c>
      <c r="K72" s="386">
        <v>0.0</v>
      </c>
      <c r="L72" s="386">
        <v>0.0</v>
      </c>
      <c r="M72" s="386">
        <v>0.0</v>
      </c>
      <c r="N72" s="386">
        <v>0.0</v>
      </c>
      <c r="O72" s="386">
        <v>0.0</v>
      </c>
      <c r="P72" s="386">
        <v>0.0</v>
      </c>
      <c r="Q72" s="386">
        <v>0.0</v>
      </c>
      <c r="R72" s="386">
        <v>0.0</v>
      </c>
      <c r="S72" s="386">
        <v>0.0</v>
      </c>
      <c r="T72" s="386">
        <v>0.0</v>
      </c>
      <c r="U72" s="386">
        <v>0.0</v>
      </c>
      <c r="V72" s="386">
        <v>0.0</v>
      </c>
      <c r="W72" s="386">
        <v>0.0</v>
      </c>
      <c r="X72" s="386">
        <v>0.0</v>
      </c>
      <c r="Y72" s="386">
        <v>0.0</v>
      </c>
      <c r="Z72" s="386">
        <v>0.0</v>
      </c>
      <c r="AA72" s="386">
        <v>0.0</v>
      </c>
      <c r="AB72" s="386">
        <v>0.0</v>
      </c>
      <c r="AC72" s="386">
        <v>0.0</v>
      </c>
    </row>
    <row r="73">
      <c r="A73" s="41" t="str">
        <f>VLOOKUP(C73,'YTD Income Statement'!$F:$F,1,false)</f>
        <v>0000-5161</v>
      </c>
      <c r="B73" s="41" t="s">
        <v>954</v>
      </c>
      <c r="C73" s="41" t="s">
        <v>118</v>
      </c>
      <c r="D73" s="43" t="s">
        <v>36</v>
      </c>
      <c r="E73" s="386">
        <v>0.0</v>
      </c>
      <c r="F73" s="386">
        <v>0.0</v>
      </c>
      <c r="G73" s="386">
        <v>0.0</v>
      </c>
      <c r="H73" s="386">
        <v>0.0</v>
      </c>
      <c r="I73" s="386">
        <v>0.0</v>
      </c>
      <c r="J73" s="386">
        <v>0.0</v>
      </c>
      <c r="K73" s="386">
        <v>0.0</v>
      </c>
      <c r="L73" s="386">
        <v>0.0</v>
      </c>
      <c r="M73" s="386">
        <v>0.0</v>
      </c>
      <c r="N73" s="386">
        <v>0.0</v>
      </c>
      <c r="O73" s="386">
        <v>0.0</v>
      </c>
      <c r="P73" s="386">
        <v>0.0</v>
      </c>
      <c r="Q73" s="386">
        <v>0.0</v>
      </c>
      <c r="R73" s="386">
        <v>0.0</v>
      </c>
      <c r="S73" s="386">
        <v>0.0</v>
      </c>
      <c r="T73" s="386">
        <v>0.0</v>
      </c>
      <c r="U73" s="386">
        <v>0.0</v>
      </c>
      <c r="V73" s="386">
        <v>0.0</v>
      </c>
      <c r="W73" s="386">
        <v>0.0</v>
      </c>
      <c r="X73" s="386">
        <v>0.0</v>
      </c>
      <c r="Y73" s="386">
        <v>0.0</v>
      </c>
      <c r="Z73" s="386">
        <v>0.0</v>
      </c>
      <c r="AA73" s="386">
        <v>0.0</v>
      </c>
      <c r="AB73" s="386">
        <v>0.0</v>
      </c>
      <c r="AC73" s="386">
        <v>0.0</v>
      </c>
    </row>
    <row r="74">
      <c r="A74" s="41" t="str">
        <f>VLOOKUP(C74,'YTD Income Statement'!$F:$F,1,false)</f>
        <v>0000-5172</v>
      </c>
      <c r="B74" s="41" t="s">
        <v>954</v>
      </c>
      <c r="C74" s="41" t="s">
        <v>119</v>
      </c>
      <c r="D74" s="43" t="s">
        <v>36</v>
      </c>
      <c r="E74" s="386">
        <v>0.0</v>
      </c>
      <c r="F74" s="386">
        <v>0.0</v>
      </c>
      <c r="G74" s="386">
        <v>0.0</v>
      </c>
      <c r="H74" s="386">
        <v>0.0</v>
      </c>
      <c r="I74" s="386">
        <v>0.0</v>
      </c>
      <c r="J74" s="386">
        <v>0.0</v>
      </c>
      <c r="K74" s="386">
        <v>0.0</v>
      </c>
      <c r="L74" s="386">
        <v>0.0</v>
      </c>
      <c r="M74" s="386">
        <v>0.0</v>
      </c>
      <c r="N74" s="386">
        <v>0.0</v>
      </c>
      <c r="O74" s="386">
        <v>0.0</v>
      </c>
      <c r="P74" s="386">
        <v>0.0</v>
      </c>
      <c r="Q74" s="386">
        <v>0.0</v>
      </c>
      <c r="R74" s="386">
        <v>0.0</v>
      </c>
      <c r="S74" s="386">
        <v>0.0</v>
      </c>
      <c r="T74" s="386">
        <v>0.0</v>
      </c>
      <c r="U74" s="386">
        <v>0.0</v>
      </c>
      <c r="V74" s="386">
        <v>0.0</v>
      </c>
      <c r="W74" s="386">
        <v>0.0</v>
      </c>
      <c r="X74" s="386">
        <v>0.0</v>
      </c>
      <c r="Y74" s="386">
        <v>0.0</v>
      </c>
      <c r="Z74" s="386">
        <v>0.0</v>
      </c>
      <c r="AA74" s="386">
        <v>0.0</v>
      </c>
      <c r="AB74" s="386">
        <v>0.0</v>
      </c>
      <c r="AC74" s="386">
        <v>0.0</v>
      </c>
    </row>
    <row r="75">
      <c r="A75" s="41" t="str">
        <f>VLOOKUP(C75,'YTD Income Statement'!$F:$F,1,false)</f>
        <v>0000-5471</v>
      </c>
      <c r="B75" s="41" t="s">
        <v>956</v>
      </c>
      <c r="C75" s="41" t="s">
        <v>120</v>
      </c>
      <c r="D75" s="43" t="s">
        <v>36</v>
      </c>
      <c r="E75" s="386">
        <v>0.0</v>
      </c>
      <c r="F75" s="386">
        <v>0.0</v>
      </c>
      <c r="G75" s="386">
        <v>0.0</v>
      </c>
      <c r="H75" s="386">
        <v>0.0</v>
      </c>
      <c r="I75" s="386">
        <v>0.0</v>
      </c>
      <c r="J75" s="386">
        <v>0.0</v>
      </c>
      <c r="K75" s="386">
        <v>0.0</v>
      </c>
      <c r="L75" s="386">
        <v>0.0</v>
      </c>
      <c r="M75" s="386">
        <v>0.0</v>
      </c>
      <c r="N75" s="386">
        <v>0.0</v>
      </c>
      <c r="O75" s="386">
        <v>0.0</v>
      </c>
      <c r="P75" s="386">
        <v>0.0</v>
      </c>
      <c r="Q75" s="386">
        <v>0.0</v>
      </c>
      <c r="R75" s="386">
        <v>0.0</v>
      </c>
      <c r="S75" s="386">
        <v>0.0</v>
      </c>
      <c r="T75" s="386">
        <v>0.0</v>
      </c>
      <c r="U75" s="386">
        <v>0.0</v>
      </c>
      <c r="V75" s="386">
        <v>0.0</v>
      </c>
      <c r="W75" s="386">
        <v>0.0</v>
      </c>
      <c r="X75" s="386">
        <v>0.0</v>
      </c>
      <c r="Y75" s="386">
        <v>0.0</v>
      </c>
      <c r="Z75" s="386">
        <v>0.0</v>
      </c>
      <c r="AA75" s="386">
        <v>0.0</v>
      </c>
      <c r="AB75" s="386">
        <v>0.0</v>
      </c>
      <c r="AC75" s="386">
        <v>0.0</v>
      </c>
    </row>
    <row r="76">
      <c r="A76" s="41" t="str">
        <f>VLOOKUP(C76,'YTD Income Statement'!$F:$F,1,false)</f>
        <v>0000-5841</v>
      </c>
      <c r="B76" s="41" t="s">
        <v>954</v>
      </c>
      <c r="C76" s="41" t="s">
        <v>121</v>
      </c>
      <c r="D76" s="43" t="s">
        <v>36</v>
      </c>
      <c r="E76" s="386">
        <v>0.0</v>
      </c>
      <c r="F76" s="386">
        <v>0.0</v>
      </c>
      <c r="G76" s="386">
        <v>0.0</v>
      </c>
      <c r="H76" s="386">
        <v>0.0</v>
      </c>
      <c r="I76" s="386">
        <v>0.0</v>
      </c>
      <c r="J76" s="386">
        <v>0.0</v>
      </c>
      <c r="K76" s="386">
        <v>0.0</v>
      </c>
      <c r="L76" s="386">
        <v>0.0</v>
      </c>
      <c r="M76" s="386">
        <v>0.0</v>
      </c>
      <c r="N76" s="386">
        <v>0.0</v>
      </c>
      <c r="O76" s="386">
        <v>0.0</v>
      </c>
      <c r="P76" s="386">
        <v>0.0</v>
      </c>
      <c r="Q76" s="386">
        <v>0.0</v>
      </c>
      <c r="R76" s="386">
        <v>0.0</v>
      </c>
      <c r="S76" s="386">
        <v>0.0</v>
      </c>
      <c r="T76" s="386">
        <v>0.0</v>
      </c>
      <c r="U76" s="386">
        <v>0.0</v>
      </c>
      <c r="V76" s="386">
        <v>0.0</v>
      </c>
      <c r="W76" s="386">
        <v>0.0</v>
      </c>
      <c r="X76" s="386">
        <v>0.0</v>
      </c>
      <c r="Y76" s="386">
        <v>0.0</v>
      </c>
      <c r="Z76" s="386">
        <v>0.0</v>
      </c>
      <c r="AA76" s="386">
        <v>0.0</v>
      </c>
      <c r="AB76" s="386">
        <v>0.0</v>
      </c>
      <c r="AC76" s="386">
        <v>0.0</v>
      </c>
    </row>
    <row r="77">
      <c r="A77" s="41" t="str">
        <f>VLOOKUP(C77,'YTD Income Statement'!$F:$F,1,false)</f>
        <v>2323-6319</v>
      </c>
      <c r="B77" s="41" t="s">
        <v>962</v>
      </c>
      <c r="C77" s="41" t="s">
        <v>122</v>
      </c>
      <c r="D77" s="386" t="s">
        <v>35</v>
      </c>
      <c r="E77" s="386">
        <v>0.0</v>
      </c>
      <c r="F77" s="386">
        <v>0.0</v>
      </c>
      <c r="G77" s="386">
        <v>0.0</v>
      </c>
      <c r="H77" s="386">
        <v>0.0</v>
      </c>
      <c r="I77" s="386">
        <v>0.0</v>
      </c>
      <c r="J77" s="386">
        <v>0.0</v>
      </c>
      <c r="K77" s="386">
        <v>0.0</v>
      </c>
      <c r="L77" s="386">
        <v>0.0</v>
      </c>
      <c r="M77" s="386">
        <v>0.0</v>
      </c>
      <c r="N77" s="386">
        <v>0.0</v>
      </c>
      <c r="O77" s="386">
        <v>0.0</v>
      </c>
      <c r="P77" s="386">
        <v>0.0</v>
      </c>
      <c r="Q77" s="386">
        <v>0.0</v>
      </c>
      <c r="R77" s="386">
        <v>0.0</v>
      </c>
      <c r="S77" s="386">
        <v>0.0</v>
      </c>
      <c r="T77" s="386">
        <v>0.0</v>
      </c>
      <c r="U77" s="386">
        <v>0.0</v>
      </c>
      <c r="V77" s="386">
        <v>0.0</v>
      </c>
      <c r="W77" s="386">
        <v>0.0</v>
      </c>
      <c r="X77" s="386">
        <v>0.0</v>
      </c>
      <c r="Y77" s="386">
        <v>0.0</v>
      </c>
      <c r="Z77" s="386">
        <v>0.0</v>
      </c>
      <c r="AA77" s="386">
        <v>0.0</v>
      </c>
      <c r="AB77" s="386">
        <v>0.0</v>
      </c>
      <c r="AC77" s="386">
        <v>0.0</v>
      </c>
    </row>
    <row r="78">
      <c r="A78" s="41" t="str">
        <f>VLOOKUP(C78,'YTD Income Statement'!$F:$F,1,false)</f>
        <v>2542-6319</v>
      </c>
      <c r="B78" s="41" t="s">
        <v>964</v>
      </c>
      <c r="C78" s="41" t="s">
        <v>123</v>
      </c>
      <c r="D78" s="386" t="s">
        <v>35</v>
      </c>
      <c r="E78" s="386">
        <v>0.0</v>
      </c>
      <c r="F78" s="386">
        <v>0.0</v>
      </c>
      <c r="G78" s="386">
        <v>0.0</v>
      </c>
      <c r="H78" s="386">
        <v>0.0</v>
      </c>
      <c r="I78" s="386">
        <v>0.0</v>
      </c>
      <c r="J78" s="386">
        <v>0.0</v>
      </c>
      <c r="K78" s="386">
        <v>0.0</v>
      </c>
      <c r="L78" s="386">
        <v>0.0</v>
      </c>
      <c r="M78" s="386">
        <v>0.0</v>
      </c>
      <c r="N78" s="386">
        <v>0.0</v>
      </c>
      <c r="O78" s="386">
        <v>0.0</v>
      </c>
      <c r="P78" s="386">
        <v>0.0</v>
      </c>
      <c r="Q78" s="386">
        <v>0.0</v>
      </c>
      <c r="R78" s="386">
        <v>0.0</v>
      </c>
      <c r="S78" s="386">
        <v>0.0</v>
      </c>
      <c r="T78" s="386">
        <v>0.0</v>
      </c>
      <c r="U78" s="386">
        <v>0.0</v>
      </c>
      <c r="V78" s="386">
        <v>0.0</v>
      </c>
      <c r="W78" s="386">
        <v>0.0</v>
      </c>
      <c r="X78" s="386">
        <v>0.0</v>
      </c>
      <c r="Y78" s="386">
        <v>0.0</v>
      </c>
      <c r="Z78" s="386">
        <v>0.0</v>
      </c>
      <c r="AA78" s="386">
        <v>0.0</v>
      </c>
      <c r="AB78" s="386">
        <v>0.0</v>
      </c>
      <c r="AC78" s="386">
        <v>0.0</v>
      </c>
    </row>
    <row r="79">
      <c r="B79" s="41" t="s">
        <v>960</v>
      </c>
      <c r="C79" s="41" t="s">
        <v>967</v>
      </c>
      <c r="D79" s="386" t="s">
        <v>35</v>
      </c>
      <c r="E79" s="386">
        <v>0.0</v>
      </c>
      <c r="F79" s="386">
        <v>0.0</v>
      </c>
      <c r="G79" s="386">
        <v>0.0</v>
      </c>
      <c r="H79" s="386">
        <v>0.0</v>
      </c>
      <c r="I79" s="386">
        <v>0.0</v>
      </c>
      <c r="J79" s="386">
        <v>0.0</v>
      </c>
      <c r="K79" s="386">
        <v>0.0</v>
      </c>
      <c r="L79" s="386">
        <v>0.0</v>
      </c>
      <c r="M79" s="386">
        <v>0.0</v>
      </c>
      <c r="N79" s="386">
        <v>0.0</v>
      </c>
      <c r="O79" s="386">
        <v>0.0</v>
      </c>
      <c r="P79" s="386">
        <v>0.0</v>
      </c>
      <c r="Q79" s="386">
        <v>0.0</v>
      </c>
      <c r="R79" s="386">
        <v>0.0</v>
      </c>
      <c r="S79" s="386">
        <v>0.0</v>
      </c>
      <c r="T79" s="386">
        <v>0.0</v>
      </c>
      <c r="U79" s="386">
        <v>0.0</v>
      </c>
      <c r="V79" s="386">
        <v>0.0</v>
      </c>
      <c r="W79" s="386">
        <v>0.0</v>
      </c>
      <c r="X79" s="386">
        <v>0.0</v>
      </c>
      <c r="Y79" s="386">
        <v>0.0</v>
      </c>
      <c r="Z79" s="386">
        <v>0.0</v>
      </c>
      <c r="AA79" s="386">
        <v>0.0</v>
      </c>
      <c r="AB79" s="386">
        <v>0.0</v>
      </c>
      <c r="AC79" s="386">
        <v>0.0</v>
      </c>
    </row>
    <row r="80">
      <c r="A80" s="41" t="str">
        <f>VLOOKUP(C80,'YTD Income Statement'!$F:$F,1,false)</f>
        <v>1221-6411</v>
      </c>
      <c r="B80" s="41" t="s">
        <v>960</v>
      </c>
      <c r="C80" s="41" t="s">
        <v>125</v>
      </c>
      <c r="D80" s="386" t="s">
        <v>35</v>
      </c>
      <c r="E80" s="386">
        <v>0.0</v>
      </c>
      <c r="F80" s="386">
        <v>0.0</v>
      </c>
      <c r="G80" s="386">
        <v>0.0</v>
      </c>
      <c r="H80" s="386">
        <v>0.0</v>
      </c>
      <c r="I80" s="386">
        <v>0.0</v>
      </c>
      <c r="J80" s="386">
        <v>0.0</v>
      </c>
      <c r="K80" s="386">
        <v>0.0</v>
      </c>
      <c r="L80" s="386">
        <v>0.0</v>
      </c>
      <c r="M80" s="386">
        <v>0.0</v>
      </c>
      <c r="N80" s="386">
        <v>0.0</v>
      </c>
      <c r="O80" s="386">
        <v>0.0</v>
      </c>
      <c r="P80" s="386">
        <v>0.0</v>
      </c>
      <c r="Q80" s="386">
        <v>0.0</v>
      </c>
      <c r="R80" s="386">
        <v>0.0</v>
      </c>
      <c r="S80" s="386">
        <v>0.0</v>
      </c>
      <c r="T80" s="386">
        <v>0.0</v>
      </c>
      <c r="U80" s="386">
        <v>0.0</v>
      </c>
      <c r="V80" s="386">
        <v>0.0</v>
      </c>
      <c r="W80" s="386">
        <v>0.0</v>
      </c>
      <c r="X80" s="386">
        <v>0.0</v>
      </c>
      <c r="Y80" s="386">
        <v>0.0</v>
      </c>
      <c r="Z80" s="386">
        <v>0.0</v>
      </c>
      <c r="AA80" s="386">
        <v>0.0</v>
      </c>
      <c r="AB80" s="386">
        <v>0.0</v>
      </c>
      <c r="AC80" s="386">
        <v>0.0</v>
      </c>
    </row>
    <row r="81">
      <c r="A81" s="41" t="str">
        <f>VLOOKUP(C81,'YTD Income Statement'!$F:$F,1,false)</f>
        <v>2321-6343</v>
      </c>
      <c r="B81" s="41" t="s">
        <v>963</v>
      </c>
      <c r="C81" s="41" t="s">
        <v>126</v>
      </c>
      <c r="D81" s="386" t="s">
        <v>35</v>
      </c>
      <c r="E81" s="386">
        <v>0.0</v>
      </c>
      <c r="F81" s="386">
        <v>0.0</v>
      </c>
      <c r="G81" s="386">
        <v>0.0</v>
      </c>
      <c r="H81" s="386">
        <v>0.0</v>
      </c>
      <c r="I81" s="386">
        <v>0.0</v>
      </c>
      <c r="J81" s="386">
        <v>0.0</v>
      </c>
      <c r="K81" s="386">
        <v>0.0</v>
      </c>
      <c r="L81" s="386">
        <v>0.0</v>
      </c>
      <c r="M81" s="386">
        <v>0.0</v>
      </c>
      <c r="N81" s="386">
        <v>0.0</v>
      </c>
      <c r="O81" s="386">
        <v>0.0</v>
      </c>
      <c r="P81" s="386">
        <v>0.0</v>
      </c>
      <c r="Q81" s="386">
        <v>0.0</v>
      </c>
      <c r="R81" s="386">
        <v>0.0</v>
      </c>
      <c r="S81" s="386">
        <v>0.0</v>
      </c>
      <c r="T81" s="386">
        <v>0.0</v>
      </c>
      <c r="U81" s="386">
        <v>0.0</v>
      </c>
      <c r="V81" s="386">
        <v>0.0</v>
      </c>
      <c r="W81" s="386">
        <v>0.0</v>
      </c>
      <c r="X81" s="386">
        <v>0.0</v>
      </c>
      <c r="Y81" s="386">
        <v>0.0</v>
      </c>
      <c r="Z81" s="386">
        <v>0.0</v>
      </c>
      <c r="AA81" s="386">
        <v>0.0</v>
      </c>
      <c r="AB81" s="386">
        <v>0.0</v>
      </c>
      <c r="AC81" s="386">
        <v>0.0</v>
      </c>
    </row>
    <row r="82">
      <c r="A82" s="41" t="str">
        <f>VLOOKUP(C82,'YTD Income Statement'!$F:$F,1,false)</f>
        <v>2321-6391</v>
      </c>
      <c r="B82" s="41" t="s">
        <v>963</v>
      </c>
      <c r="C82" s="41" t="s">
        <v>127</v>
      </c>
      <c r="D82" s="386" t="s">
        <v>35</v>
      </c>
      <c r="E82" s="386">
        <v>0.0</v>
      </c>
      <c r="F82" s="386">
        <v>0.0</v>
      </c>
      <c r="G82" s="386">
        <v>0.0</v>
      </c>
      <c r="H82" s="386">
        <v>0.0</v>
      </c>
      <c r="I82" s="386">
        <v>0.0</v>
      </c>
      <c r="J82" s="386">
        <v>0.0</v>
      </c>
      <c r="K82" s="386">
        <v>0.0</v>
      </c>
      <c r="L82" s="386">
        <v>0.0</v>
      </c>
      <c r="M82" s="386">
        <v>0.0</v>
      </c>
      <c r="N82" s="386">
        <v>0.0</v>
      </c>
      <c r="O82" s="386">
        <v>0.0</v>
      </c>
      <c r="P82" s="386">
        <v>0.0</v>
      </c>
      <c r="Q82" s="386">
        <v>0.0</v>
      </c>
      <c r="R82" s="386">
        <v>0.0</v>
      </c>
      <c r="S82" s="386">
        <v>0.0</v>
      </c>
      <c r="T82" s="386">
        <v>0.0</v>
      </c>
      <c r="U82" s="386">
        <v>0.0</v>
      </c>
      <c r="V82" s="386">
        <v>0.0</v>
      </c>
      <c r="W82" s="386">
        <v>0.0</v>
      </c>
      <c r="X82" s="386">
        <v>0.0</v>
      </c>
      <c r="Y82" s="386">
        <v>0.0</v>
      </c>
      <c r="Z82" s="386">
        <v>0.0</v>
      </c>
      <c r="AA82" s="386">
        <v>0.0</v>
      </c>
      <c r="AB82" s="386">
        <v>0.0</v>
      </c>
      <c r="AC82" s="386">
        <v>0.0</v>
      </c>
    </row>
    <row r="83">
      <c r="A83" s="41" t="str">
        <f>VLOOKUP(C83,'YTD Income Statement'!$F:$F,1,false)</f>
        <v>2321-6412</v>
      </c>
      <c r="B83" s="41" t="s">
        <v>963</v>
      </c>
      <c r="C83" s="41" t="s">
        <v>128</v>
      </c>
      <c r="D83" s="386" t="s">
        <v>35</v>
      </c>
      <c r="E83" s="386">
        <v>0.0</v>
      </c>
      <c r="F83" s="386">
        <v>0.0</v>
      </c>
      <c r="G83" s="386">
        <v>0.0</v>
      </c>
      <c r="H83" s="386">
        <v>0.0</v>
      </c>
      <c r="I83" s="386">
        <v>0.0</v>
      </c>
      <c r="J83" s="386">
        <v>0.0</v>
      </c>
      <c r="K83" s="386">
        <v>0.0</v>
      </c>
      <c r="L83" s="386">
        <v>0.0</v>
      </c>
      <c r="M83" s="386">
        <v>0.0</v>
      </c>
      <c r="N83" s="386">
        <v>0.0</v>
      </c>
      <c r="O83" s="386">
        <v>0.0</v>
      </c>
      <c r="P83" s="386">
        <v>0.0</v>
      </c>
      <c r="Q83" s="386">
        <v>0.0</v>
      </c>
      <c r="R83" s="386">
        <v>0.0</v>
      </c>
      <c r="S83" s="386">
        <v>0.0</v>
      </c>
      <c r="T83" s="386">
        <v>0.0</v>
      </c>
      <c r="U83" s="386">
        <v>0.0</v>
      </c>
      <c r="V83" s="386">
        <v>0.0</v>
      </c>
      <c r="W83" s="386">
        <v>0.0</v>
      </c>
      <c r="X83" s="386">
        <v>0.0</v>
      </c>
      <c r="Y83" s="386">
        <v>0.0</v>
      </c>
      <c r="Z83" s="386">
        <v>0.0</v>
      </c>
      <c r="AA83" s="386">
        <v>0.0</v>
      </c>
      <c r="AB83" s="386">
        <v>0.0</v>
      </c>
      <c r="AC83" s="386">
        <v>0.0</v>
      </c>
    </row>
    <row r="84">
      <c r="A84" s="41" t="str">
        <f>VLOOKUP(C84,'YTD Income Statement'!$F:$F,1,false)</f>
        <v>2331-6319</v>
      </c>
      <c r="B84" s="41" t="s">
        <v>963</v>
      </c>
      <c r="C84" s="41" t="s">
        <v>129</v>
      </c>
      <c r="D84" s="386" t="s">
        <v>35</v>
      </c>
      <c r="E84" s="386">
        <v>0.0</v>
      </c>
      <c r="F84" s="386">
        <v>0.0</v>
      </c>
      <c r="G84" s="386">
        <v>0.0</v>
      </c>
      <c r="H84" s="386">
        <v>0.0</v>
      </c>
      <c r="I84" s="386">
        <v>0.0</v>
      </c>
      <c r="J84" s="386">
        <v>0.0</v>
      </c>
      <c r="K84" s="386">
        <v>0.0</v>
      </c>
      <c r="L84" s="386">
        <v>0.0</v>
      </c>
      <c r="M84" s="386">
        <v>0.0</v>
      </c>
      <c r="N84" s="386">
        <v>0.0</v>
      </c>
      <c r="O84" s="386">
        <v>0.0</v>
      </c>
      <c r="P84" s="386">
        <v>0.0</v>
      </c>
      <c r="Q84" s="386">
        <v>0.0</v>
      </c>
      <c r="R84" s="386">
        <v>0.0</v>
      </c>
      <c r="S84" s="386">
        <v>0.0</v>
      </c>
      <c r="T84" s="386">
        <v>0.0</v>
      </c>
      <c r="U84" s="386">
        <v>0.0</v>
      </c>
      <c r="V84" s="386">
        <v>0.0</v>
      </c>
      <c r="W84" s="386">
        <v>0.0</v>
      </c>
      <c r="X84" s="386">
        <v>0.0</v>
      </c>
      <c r="Y84" s="386">
        <v>0.0</v>
      </c>
      <c r="Z84" s="386">
        <v>0.0</v>
      </c>
      <c r="AA84" s="386">
        <v>0.0</v>
      </c>
      <c r="AB84" s="386">
        <v>0.0</v>
      </c>
      <c r="AC84" s="386">
        <v>0.0</v>
      </c>
    </row>
    <row r="85">
      <c r="A85" s="41" t="str">
        <f>VLOOKUP(C85,'YTD Income Statement'!$F:$F,1,false)</f>
        <v>#N/A</v>
      </c>
      <c r="B85" s="41" t="s">
        <v>966</v>
      </c>
      <c r="C85" s="41" t="s">
        <v>130</v>
      </c>
      <c r="D85" s="386" t="s">
        <v>35</v>
      </c>
      <c r="E85" s="386">
        <v>0.0</v>
      </c>
      <c r="F85" s="386">
        <v>0.0</v>
      </c>
      <c r="G85" s="386">
        <v>0.0</v>
      </c>
      <c r="H85" s="386">
        <v>0.0</v>
      </c>
      <c r="I85" s="386">
        <v>0.0</v>
      </c>
      <c r="J85" s="386">
        <v>0.0</v>
      </c>
      <c r="K85" s="386">
        <v>0.0</v>
      </c>
      <c r="L85" s="386">
        <v>0.0</v>
      </c>
      <c r="M85" s="386">
        <v>0.0</v>
      </c>
      <c r="N85" s="386">
        <v>0.0</v>
      </c>
      <c r="O85" s="386">
        <v>0.0</v>
      </c>
      <c r="P85" s="386">
        <v>0.0</v>
      </c>
      <c r="Q85" s="386">
        <v>0.0</v>
      </c>
      <c r="R85" s="386">
        <v>0.0</v>
      </c>
      <c r="S85" s="386">
        <v>0.0</v>
      </c>
      <c r="T85" s="386">
        <v>0.0</v>
      </c>
      <c r="U85" s="386">
        <v>0.0</v>
      </c>
      <c r="V85" s="386">
        <v>0.0</v>
      </c>
      <c r="W85" s="386">
        <v>0.0</v>
      </c>
      <c r="X85" s="386">
        <v>0.0</v>
      </c>
      <c r="Y85" s="386">
        <v>0.0</v>
      </c>
      <c r="Z85" s="386">
        <v>0.0</v>
      </c>
      <c r="AA85" s="386">
        <v>0.0</v>
      </c>
      <c r="AB85" s="386">
        <v>0.0</v>
      </c>
      <c r="AC85" s="386">
        <v>0.0</v>
      </c>
    </row>
    <row r="86"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</row>
    <row r="87"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</row>
    <row r="88"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</row>
    <row r="89"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</row>
    <row r="90"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</row>
    <row r="91"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</row>
    <row r="92"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</row>
    <row r="93"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</row>
    <row r="94"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</row>
    <row r="95"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</row>
    <row r="96"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</row>
    <row r="97"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</row>
    <row r="98"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</row>
    <row r="99"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</row>
    <row r="100"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</row>
    <row r="101"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</row>
    <row r="102"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</row>
    <row r="103"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</row>
    <row r="104"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</row>
    <row r="105"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</row>
    <row r="106"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</row>
    <row r="107"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</row>
    <row r="108"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</row>
    <row r="109"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</row>
    <row r="110"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</row>
    <row r="111"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</row>
    <row r="112"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</row>
    <row r="113"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</row>
    <row r="114"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</row>
    <row r="115"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</row>
    <row r="116"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</row>
    <row r="117"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</row>
    <row r="118"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</row>
    <row r="119"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</row>
    <row r="120"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</row>
    <row r="121"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</row>
    <row r="122"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</row>
    <row r="123"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</row>
    <row r="124"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</row>
    <row r="125"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</row>
    <row r="126"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</row>
    <row r="127"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</row>
    <row r="128"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</row>
    <row r="129"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</row>
    <row r="130"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</row>
    <row r="131"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</row>
    <row r="132"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</row>
    <row r="133"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</row>
    <row r="134"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</row>
    <row r="135"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</row>
    <row r="136"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</row>
    <row r="137"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</row>
    <row r="138"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</row>
    <row r="139"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</row>
    <row r="140"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</row>
    <row r="141"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</row>
    <row r="142"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</row>
    <row r="143"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</row>
    <row r="144"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</row>
    <row r="145"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</row>
    <row r="146"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</row>
    <row r="147"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</row>
    <row r="148"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</row>
    <row r="149"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</row>
    <row r="150"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</row>
    <row r="151"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</row>
    <row r="152"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</row>
    <row r="153"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</row>
    <row r="154"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</row>
    <row r="155"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</row>
    <row r="156"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</row>
    <row r="157"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</row>
    <row r="158"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</row>
    <row r="159"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</row>
    <row r="160"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</row>
    <row r="161"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</row>
    <row r="162"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</row>
    <row r="163"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</row>
    <row r="164"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</row>
    <row r="165"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</row>
    <row r="166"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</row>
    <row r="167"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</row>
    <row r="168"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</row>
    <row r="169"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</row>
    <row r="170"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</row>
    <row r="171"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</row>
    <row r="172"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</row>
    <row r="173"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</row>
    <row r="174"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</row>
    <row r="175"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</row>
    <row r="176"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</row>
    <row r="177"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</row>
    <row r="178"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</row>
    <row r="179"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</row>
    <row r="180"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</row>
    <row r="181"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</row>
    <row r="182"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</row>
    <row r="183"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</row>
    <row r="184"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</row>
    <row r="185"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</row>
    <row r="186"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</row>
    <row r="187"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</row>
    <row r="188"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</row>
    <row r="189"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</row>
    <row r="190"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</row>
    <row r="191"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</row>
    <row r="192"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</row>
    <row r="193"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</row>
    <row r="194"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</row>
    <row r="195"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</row>
    <row r="196"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</row>
    <row r="197"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</row>
    <row r="198"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</row>
    <row r="199"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</row>
    <row r="200"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</row>
    <row r="201"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</row>
    <row r="202"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</row>
    <row r="203"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</row>
    <row r="204"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</row>
    <row r="205"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</row>
    <row r="206"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</row>
    <row r="207"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</row>
    <row r="208"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</row>
    <row r="209"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</row>
    <row r="210"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</row>
    <row r="211"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</row>
    <row r="212"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</row>
    <row r="213"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</row>
    <row r="214"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</row>
    <row r="215"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</row>
    <row r="216"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</row>
    <row r="217"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</row>
    <row r="218"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</row>
    <row r="219"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</row>
    <row r="220"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</row>
    <row r="221"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</row>
    <row r="222"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</row>
    <row r="223"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</row>
    <row r="224"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</row>
    <row r="225"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</row>
    <row r="226"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</row>
    <row r="227"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</row>
    <row r="228"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</row>
    <row r="229"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</row>
    <row r="230"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</row>
    <row r="231"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</row>
    <row r="232"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</row>
    <row r="233"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</row>
    <row r="234"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</row>
    <row r="235"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</row>
    <row r="236"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</row>
    <row r="237"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</row>
    <row r="238"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</row>
    <row r="239"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</row>
    <row r="240"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</row>
    <row r="241"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</row>
    <row r="242"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</row>
    <row r="243"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</row>
    <row r="244"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</row>
    <row r="245"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</row>
    <row r="246"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</row>
    <row r="247"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</row>
    <row r="248"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</row>
    <row r="249"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</row>
    <row r="250"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</row>
    <row r="251"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</row>
    <row r="252"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</row>
    <row r="253"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</row>
    <row r="254"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</row>
    <row r="255"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</row>
    <row r="256"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</row>
    <row r="257"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</row>
    <row r="258"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</row>
    <row r="259"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</row>
    <row r="260"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</row>
    <row r="261"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</row>
    <row r="262"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</row>
    <row r="263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</row>
    <row r="264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</row>
    <row r="26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</row>
    <row r="266"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</row>
    <row r="267"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</row>
    <row r="268"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</row>
    <row r="269"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</row>
    <row r="270"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</row>
    <row r="271"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</row>
    <row r="272"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</row>
    <row r="273"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</row>
    <row r="274"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</row>
    <row r="275"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</row>
    <row r="276"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</row>
    <row r="277"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</row>
    <row r="278"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</row>
    <row r="279"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</row>
    <row r="280"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</row>
    <row r="281"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</row>
    <row r="282"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</row>
    <row r="283"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</row>
    <row r="284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</row>
    <row r="285"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</row>
    <row r="286"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</row>
    <row r="287"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</row>
    <row r="288"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</row>
    <row r="289"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</row>
    <row r="290"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</row>
    <row r="291"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</row>
    <row r="292"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</row>
    <row r="293"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</row>
    <row r="294"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</row>
    <row r="295"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</row>
    <row r="296"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</row>
    <row r="297"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</row>
    <row r="298"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</row>
    <row r="299"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</row>
    <row r="300"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</row>
    <row r="301"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</row>
    <row r="302"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</row>
    <row r="303"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</row>
    <row r="304"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</row>
    <row r="305"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</row>
    <row r="306"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</row>
    <row r="307"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</row>
    <row r="308"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</row>
    <row r="309"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</row>
    <row r="310"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</row>
    <row r="311"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</row>
    <row r="312"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</row>
    <row r="313"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</row>
    <row r="314"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</row>
    <row r="315"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</row>
    <row r="316"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</row>
    <row r="317"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</row>
    <row r="318"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</row>
    <row r="319"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</row>
    <row r="320"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</row>
    <row r="321"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</row>
    <row r="322"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</row>
    <row r="323"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</row>
    <row r="324"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</row>
    <row r="325"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</row>
    <row r="326"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</row>
    <row r="327"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</row>
    <row r="328"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</row>
    <row r="329"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</row>
    <row r="330"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</row>
    <row r="331"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</row>
    <row r="332"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</row>
    <row r="333"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</row>
    <row r="334"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</row>
    <row r="335"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</row>
    <row r="336"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</row>
    <row r="337"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</row>
    <row r="338"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</row>
    <row r="339"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</row>
    <row r="340"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</row>
    <row r="341"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</row>
    <row r="342"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</row>
    <row r="343"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</row>
    <row r="344"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</row>
    <row r="345"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</row>
    <row r="346"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</row>
    <row r="347"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</row>
    <row r="348"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</row>
    <row r="349"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</row>
    <row r="350"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</row>
    <row r="351"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</row>
    <row r="352"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</row>
    <row r="353"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</row>
    <row r="354"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</row>
    <row r="355"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</row>
    <row r="356"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</row>
    <row r="357"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</row>
    <row r="358"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</row>
    <row r="359"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</row>
    <row r="360"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</row>
    <row r="361"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</row>
    <row r="362"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</row>
    <row r="363"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</row>
    <row r="364"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</row>
    <row r="365"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</row>
    <row r="366"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</row>
    <row r="367"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</row>
    <row r="368"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</row>
    <row r="369"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</row>
    <row r="370"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</row>
    <row r="371"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</row>
    <row r="372"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</row>
    <row r="373"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</row>
    <row r="374"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</row>
    <row r="375"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</row>
    <row r="376"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</row>
    <row r="377"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</row>
    <row r="378"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</row>
    <row r="379"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</row>
    <row r="380"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</row>
    <row r="381"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</row>
    <row r="382"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</row>
    <row r="383"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</row>
    <row r="384"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</row>
    <row r="385"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</row>
    <row r="386"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</row>
    <row r="387"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</row>
    <row r="388"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</row>
    <row r="389"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</row>
    <row r="390"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</row>
    <row r="391"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</row>
    <row r="392"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</row>
    <row r="393"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</row>
    <row r="394"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</row>
    <row r="395"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</row>
    <row r="396"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</row>
    <row r="397"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</row>
    <row r="398"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</row>
    <row r="399"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</row>
    <row r="400"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</row>
    <row r="401"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</row>
    <row r="402"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</row>
    <row r="403"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</row>
    <row r="404"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</row>
    <row r="405"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</row>
    <row r="406"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</row>
    <row r="407"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</row>
    <row r="408"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</row>
    <row r="409"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</row>
    <row r="410"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</row>
    <row r="411"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</row>
    <row r="412"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</row>
    <row r="413"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</row>
    <row r="414"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</row>
    <row r="415"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</row>
    <row r="416"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</row>
    <row r="417"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</row>
    <row r="418"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</row>
    <row r="419"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</row>
    <row r="420"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</row>
    <row r="421"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</row>
    <row r="422"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</row>
    <row r="423"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</row>
    <row r="424"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</row>
    <row r="425"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</row>
    <row r="426"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</row>
    <row r="427"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</row>
    <row r="428"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</row>
    <row r="429"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</row>
    <row r="430"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</row>
    <row r="431"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</row>
    <row r="432"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</row>
    <row r="433"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</row>
    <row r="434"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</row>
    <row r="435"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</row>
    <row r="436"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</row>
    <row r="437"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</row>
    <row r="438"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</row>
    <row r="439"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</row>
    <row r="440"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</row>
    <row r="441"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</row>
    <row r="442"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</row>
    <row r="443"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</row>
    <row r="444"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</row>
    <row r="445"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</row>
    <row r="446"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</row>
    <row r="447"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</row>
    <row r="448"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</row>
    <row r="449"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</row>
    <row r="450"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</row>
    <row r="451"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</row>
    <row r="452"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</row>
    <row r="453"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</row>
    <row r="454"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</row>
    <row r="455"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</row>
    <row r="456"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</row>
    <row r="457"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</row>
    <row r="458"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</row>
    <row r="459"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</row>
    <row r="460"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</row>
    <row r="461"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</row>
    <row r="462"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</row>
    <row r="463"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</row>
    <row r="464"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</row>
    <row r="465"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</row>
    <row r="466"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</row>
    <row r="467"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</row>
    <row r="468"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</row>
    <row r="469"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</row>
    <row r="470"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</row>
    <row r="471"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</row>
    <row r="472"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</row>
    <row r="473"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</row>
    <row r="474"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</row>
    <row r="475"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</row>
    <row r="476"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</row>
    <row r="477"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</row>
    <row r="478"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</row>
    <row r="479"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</row>
    <row r="480"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</row>
    <row r="481"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</row>
    <row r="482"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</row>
    <row r="483"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</row>
    <row r="484"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</row>
    <row r="485"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</row>
    <row r="486"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</row>
    <row r="487"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</row>
    <row r="488"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</row>
    <row r="489"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</row>
    <row r="490"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</row>
    <row r="491"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</row>
    <row r="492"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</row>
    <row r="493"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</row>
    <row r="494"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</row>
    <row r="495"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</row>
    <row r="496"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</row>
    <row r="497"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</row>
    <row r="498"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</row>
    <row r="499"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</row>
    <row r="500"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</row>
    <row r="501"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</row>
    <row r="502"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</row>
    <row r="503"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</row>
    <row r="504"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</row>
    <row r="505"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</row>
    <row r="506"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</row>
    <row r="507"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</row>
    <row r="508"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</row>
    <row r="509"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</row>
    <row r="510"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</row>
    <row r="511"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</row>
    <row r="512"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</row>
    <row r="513"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</row>
    <row r="514"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</row>
    <row r="515"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</row>
    <row r="516"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</row>
    <row r="517"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</row>
    <row r="518"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</row>
    <row r="519"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</row>
    <row r="520"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</row>
    <row r="521"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</row>
    <row r="522"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</row>
    <row r="523"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</row>
    <row r="524"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</row>
    <row r="525"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</row>
    <row r="526"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</row>
    <row r="527"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</row>
    <row r="528"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</row>
    <row r="529"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</row>
    <row r="530"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</row>
    <row r="531"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</row>
    <row r="532"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</row>
    <row r="533"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</row>
    <row r="534"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</row>
    <row r="535"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</row>
    <row r="536"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</row>
    <row r="537"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</row>
    <row r="538"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</row>
    <row r="539"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</row>
    <row r="540"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</row>
    <row r="541"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</row>
    <row r="542"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</row>
    <row r="543"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</row>
    <row r="544"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</row>
    <row r="545"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</row>
    <row r="546"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</row>
    <row r="547"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</row>
    <row r="548"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</row>
    <row r="549"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</row>
    <row r="550"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</row>
    <row r="551"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</row>
    <row r="552"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</row>
    <row r="553"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</row>
    <row r="554"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</row>
    <row r="555"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</row>
    <row r="556"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</row>
    <row r="557"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</row>
    <row r="558"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</row>
    <row r="559"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</row>
    <row r="560"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</row>
    <row r="561"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</row>
    <row r="562"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</row>
    <row r="563"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</row>
    <row r="564"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</row>
    <row r="565"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</row>
    <row r="566"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</row>
    <row r="567"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</row>
    <row r="568"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</row>
    <row r="569"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</row>
    <row r="570"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</row>
    <row r="571"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</row>
    <row r="572"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</row>
    <row r="573"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</row>
    <row r="574"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</row>
    <row r="575"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</row>
    <row r="576"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</row>
    <row r="577"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</row>
    <row r="578"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</row>
    <row r="579"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</row>
    <row r="580"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</row>
    <row r="581"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</row>
    <row r="582"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</row>
    <row r="583"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</row>
    <row r="584"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</row>
    <row r="585"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</row>
    <row r="586"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</row>
    <row r="587"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</row>
    <row r="588"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</row>
    <row r="589"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</row>
    <row r="590"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</row>
    <row r="591"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</row>
    <row r="592"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</row>
    <row r="593"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</row>
    <row r="594"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</row>
    <row r="595"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</row>
    <row r="596"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</row>
    <row r="597"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</row>
    <row r="598"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</row>
    <row r="599"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</row>
    <row r="600"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</row>
    <row r="601"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</row>
    <row r="602"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</row>
    <row r="603"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</row>
    <row r="604"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</row>
    <row r="605"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</row>
    <row r="606"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</row>
    <row r="607"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</row>
    <row r="608"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</row>
    <row r="609"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</row>
    <row r="610"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</row>
    <row r="611"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</row>
    <row r="612"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</row>
    <row r="613"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</row>
    <row r="614"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</row>
    <row r="615"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</row>
    <row r="616"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</row>
    <row r="617"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</row>
    <row r="618"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</row>
    <row r="619"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</row>
    <row r="620"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</row>
    <row r="621"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</row>
    <row r="622"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</row>
    <row r="623"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</row>
    <row r="624"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</row>
    <row r="625"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</row>
    <row r="626"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</row>
    <row r="627"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</row>
    <row r="628"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</row>
    <row r="629"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</row>
    <row r="630"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</row>
    <row r="631"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</row>
    <row r="632"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</row>
    <row r="633"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</row>
    <row r="634"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</row>
    <row r="635"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</row>
    <row r="636"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</row>
    <row r="637"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</row>
    <row r="638"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</row>
    <row r="639"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</row>
    <row r="640"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</row>
    <row r="641"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</row>
    <row r="642"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</row>
    <row r="643"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</row>
    <row r="644"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</row>
    <row r="645"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</row>
    <row r="646"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</row>
    <row r="647"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</row>
    <row r="648"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</row>
    <row r="649"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</row>
    <row r="650"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</row>
    <row r="651"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</row>
    <row r="652"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</row>
    <row r="653"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</row>
    <row r="654"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</row>
    <row r="655"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</row>
    <row r="656"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</row>
    <row r="657"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</row>
    <row r="658"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</row>
    <row r="659"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</row>
    <row r="660"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</row>
    <row r="661"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</row>
    <row r="662"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</row>
    <row r="663"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</row>
    <row r="664"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</row>
    <row r="665"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</row>
    <row r="666"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</row>
    <row r="667"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</row>
    <row r="668"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</row>
    <row r="669"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</row>
    <row r="670"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</row>
    <row r="671"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</row>
    <row r="672"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</row>
    <row r="673"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</row>
    <row r="674"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</row>
    <row r="675"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</row>
    <row r="676"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</row>
    <row r="677"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</row>
    <row r="678"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</row>
    <row r="679"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</row>
    <row r="680"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</row>
    <row r="681"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</row>
    <row r="682"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</row>
    <row r="683"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</row>
    <row r="684"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</row>
    <row r="685"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</row>
    <row r="686"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</row>
    <row r="687"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</row>
    <row r="688"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</row>
    <row r="689"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</row>
    <row r="690"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</row>
    <row r="691"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</row>
    <row r="692"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</row>
    <row r="693"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</row>
    <row r="694"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</row>
    <row r="695"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</row>
    <row r="696"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</row>
    <row r="697"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</row>
    <row r="698"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</row>
    <row r="699"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</row>
    <row r="700"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</row>
    <row r="701"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</row>
    <row r="702"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</row>
    <row r="703"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</row>
    <row r="704"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</row>
    <row r="705"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</row>
    <row r="706"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</row>
    <row r="707"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</row>
    <row r="708"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</row>
    <row r="709"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</row>
    <row r="710"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</row>
    <row r="711"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</row>
    <row r="712"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</row>
    <row r="713"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</row>
    <row r="714"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</row>
    <row r="715"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</row>
    <row r="716"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</row>
    <row r="717"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</row>
    <row r="718"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</row>
    <row r="719"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</row>
    <row r="720"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</row>
    <row r="721"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</row>
    <row r="722"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</row>
    <row r="723"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</row>
    <row r="724"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</row>
    <row r="725"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</row>
    <row r="726"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</row>
    <row r="727"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</row>
    <row r="728"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</row>
    <row r="729"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</row>
    <row r="730"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</row>
    <row r="731"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</row>
    <row r="732"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</row>
    <row r="733"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</row>
    <row r="734"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</row>
    <row r="735"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</row>
    <row r="736"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</row>
    <row r="737"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</row>
    <row r="738"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</row>
    <row r="739"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</row>
    <row r="740"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</row>
    <row r="741"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</row>
    <row r="742"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</row>
    <row r="743"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</row>
    <row r="744"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</row>
    <row r="745"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</row>
    <row r="746"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</row>
    <row r="747"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</row>
    <row r="748"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</row>
    <row r="749"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</row>
    <row r="750"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</row>
    <row r="751"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</row>
    <row r="752"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</row>
    <row r="753"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</row>
    <row r="754"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</row>
    <row r="755"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</row>
    <row r="756"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</row>
    <row r="757"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</row>
    <row r="758"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</row>
    <row r="759"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</row>
    <row r="760"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</row>
    <row r="761"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</row>
    <row r="762"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</row>
    <row r="763"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</row>
    <row r="764"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</row>
    <row r="765"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</row>
    <row r="766"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</row>
    <row r="767"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</row>
    <row r="768"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</row>
    <row r="769"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</row>
    <row r="770"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</row>
    <row r="771"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</row>
    <row r="772"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</row>
    <row r="773"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</row>
    <row r="774"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</row>
    <row r="775"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</row>
    <row r="776"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</row>
    <row r="777"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</row>
    <row r="778"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</row>
    <row r="779"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</row>
    <row r="780"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</row>
    <row r="781"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</row>
    <row r="782"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</row>
    <row r="783"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</row>
    <row r="784"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</row>
    <row r="785"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</row>
    <row r="786"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</row>
    <row r="787"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</row>
    <row r="788"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</row>
    <row r="789"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</row>
    <row r="790"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</row>
    <row r="791"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</row>
    <row r="792"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</row>
    <row r="793"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</row>
    <row r="794"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</row>
    <row r="795"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</row>
    <row r="796"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</row>
    <row r="797"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</row>
    <row r="798"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</row>
    <row r="799"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</row>
    <row r="800"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</row>
    <row r="801"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</row>
    <row r="802"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</row>
    <row r="803"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</row>
    <row r="804"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</row>
    <row r="805"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</row>
    <row r="806"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</row>
    <row r="807"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</row>
    <row r="808"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</row>
    <row r="809"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</row>
    <row r="810"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</row>
    <row r="811"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</row>
    <row r="812"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</row>
    <row r="813"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</row>
    <row r="814"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</row>
    <row r="815"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</row>
    <row r="816"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</row>
    <row r="817"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</row>
    <row r="818"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</row>
    <row r="819"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</row>
    <row r="820"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</row>
    <row r="821"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</row>
    <row r="822"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</row>
    <row r="823"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</row>
    <row r="824"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</row>
    <row r="825"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</row>
    <row r="826"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</row>
    <row r="827"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</row>
    <row r="828"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</row>
    <row r="829"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</row>
    <row r="830"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</row>
    <row r="831"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</row>
    <row r="832"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</row>
    <row r="833"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</row>
    <row r="834"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</row>
    <row r="835"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</row>
    <row r="836"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</row>
    <row r="837"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</row>
    <row r="838"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</row>
    <row r="839"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</row>
    <row r="840"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</row>
    <row r="841"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</row>
    <row r="842"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</row>
    <row r="843"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</row>
    <row r="844"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</row>
    <row r="845"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</row>
    <row r="846"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</row>
    <row r="847"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</row>
    <row r="848"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</row>
    <row r="849"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</row>
    <row r="850"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</row>
    <row r="851"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</row>
    <row r="852"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</row>
    <row r="853"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</row>
    <row r="854"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</row>
    <row r="855"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</row>
    <row r="856"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</row>
    <row r="857"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</row>
    <row r="858"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</row>
    <row r="859"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</row>
    <row r="860"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</row>
    <row r="861"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</row>
    <row r="862"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</row>
    <row r="863"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</row>
    <row r="864"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</row>
    <row r="865"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</row>
    <row r="866"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</row>
    <row r="867"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</row>
    <row r="868"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</row>
    <row r="869"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</row>
    <row r="870"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</row>
    <row r="871"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</row>
    <row r="872"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</row>
    <row r="873"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</row>
    <row r="874"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</row>
    <row r="875"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</row>
    <row r="876"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</row>
    <row r="877"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</row>
    <row r="878"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</row>
    <row r="879"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</row>
    <row r="880"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</row>
    <row r="881"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</row>
    <row r="882"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</row>
    <row r="883"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</row>
    <row r="884"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</row>
    <row r="885"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</row>
    <row r="886"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</row>
    <row r="887"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</row>
    <row r="888"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</row>
    <row r="889"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</row>
    <row r="890"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</row>
    <row r="891"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</row>
    <row r="892"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</row>
    <row r="893"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</row>
    <row r="894"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</row>
    <row r="895"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</row>
    <row r="896"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</row>
    <row r="897"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</row>
    <row r="898"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</row>
    <row r="899"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</row>
    <row r="900"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</row>
    <row r="901"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</row>
    <row r="902"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</row>
    <row r="903"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</row>
    <row r="904"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</row>
    <row r="905"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</row>
    <row r="906"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</row>
    <row r="907"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</row>
    <row r="908"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</row>
    <row r="909"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</row>
    <row r="910"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</row>
    <row r="911"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</row>
    <row r="912"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</row>
    <row r="913"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</row>
    <row r="914"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</row>
    <row r="915"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</row>
    <row r="916"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</row>
    <row r="917"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</row>
    <row r="918"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</row>
    <row r="919"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</row>
    <row r="920"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</row>
    <row r="921"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</row>
    <row r="922"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</row>
    <row r="923"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</row>
    <row r="924"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</row>
    <row r="925"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</row>
    <row r="926"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</row>
    <row r="927"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</row>
    <row r="928"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</row>
    <row r="929"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</row>
    <row r="930"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</row>
    <row r="931"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</row>
    <row r="932"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</row>
    <row r="933"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</row>
    <row r="934"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</row>
    <row r="935"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</row>
    <row r="936"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</row>
    <row r="937"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</row>
    <row r="938"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</row>
    <row r="939"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</row>
    <row r="940"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</row>
    <row r="941"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</row>
    <row r="942"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</row>
    <row r="943"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</row>
    <row r="944"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</row>
    <row r="945"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</row>
    <row r="946"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</row>
    <row r="947"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</row>
    <row r="948"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</row>
    <row r="949"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</row>
    <row r="950"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</row>
    <row r="951"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</row>
    <row r="952"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</row>
    <row r="953"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</row>
    <row r="954"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</row>
    <row r="955"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</row>
    <row r="956"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</row>
    <row r="957"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</row>
    <row r="958"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</row>
    <row r="959"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</row>
    <row r="960"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</row>
    <row r="961"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</row>
    <row r="962"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</row>
    <row r="963"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</row>
    <row r="964"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</row>
    <row r="965"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</row>
    <row r="966"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</row>
    <row r="967"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</row>
    <row r="968"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</row>
    <row r="969"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</row>
    <row r="970"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</row>
    <row r="971"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</row>
    <row r="972"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</row>
    <row r="973"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</row>
    <row r="974"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</row>
    <row r="975"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</row>
    <row r="976"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</row>
    <row r="977"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</row>
    <row r="978"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</row>
    <row r="979"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</row>
    <row r="980"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</row>
    <row r="981"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</row>
    <row r="982"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</row>
    <row r="983"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</row>
    <row r="984"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</row>
    <row r="985"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</row>
    <row r="986"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</row>
    <row r="987"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</row>
    <row r="988"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</row>
    <row r="989"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</row>
    <row r="990"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</row>
    <row r="991"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</row>
    <row r="992"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</row>
    <row r="993"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</row>
    <row r="994"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</row>
    <row r="995"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</row>
    <row r="996"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</row>
  </sheetData>
  <autoFilter ref="$A$1:$AC$8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2" max="2" width="25.13"/>
    <col customWidth="1" min="3" max="3" width="15.25"/>
  </cols>
  <sheetData>
    <row r="1">
      <c r="A1" s="57" t="s">
        <v>949</v>
      </c>
      <c r="B1" s="57" t="s">
        <v>950</v>
      </c>
      <c r="C1" s="57" t="s">
        <v>951</v>
      </c>
      <c r="D1" s="366" t="s">
        <v>952</v>
      </c>
      <c r="E1" s="366" t="s">
        <v>953</v>
      </c>
      <c r="F1" s="58">
        <v>44378.0</v>
      </c>
      <c r="G1" s="58">
        <v>44392.0</v>
      </c>
      <c r="H1" s="58">
        <v>44409.0</v>
      </c>
      <c r="I1" s="58">
        <v>44423.0</v>
      </c>
      <c r="J1" s="58">
        <v>44440.0</v>
      </c>
      <c r="K1" s="58">
        <v>44454.0</v>
      </c>
      <c r="L1" s="58">
        <v>44470.0</v>
      </c>
      <c r="M1" s="58">
        <v>44484.0</v>
      </c>
      <c r="N1" s="58">
        <v>44501.0</v>
      </c>
      <c r="O1" s="58">
        <v>44515.0</v>
      </c>
      <c r="P1" s="58">
        <v>44531.0</v>
      </c>
      <c r="Q1" s="58">
        <v>44545.0</v>
      </c>
      <c r="R1" s="58">
        <v>44562.0</v>
      </c>
      <c r="S1" s="58">
        <v>44576.0</v>
      </c>
      <c r="T1" s="58">
        <v>44593.0</v>
      </c>
      <c r="U1" s="58">
        <v>44607.0</v>
      </c>
      <c r="V1" s="58">
        <v>44621.0</v>
      </c>
      <c r="W1" s="58">
        <v>44635.0</v>
      </c>
      <c r="X1" s="58">
        <v>44652.0</v>
      </c>
      <c r="Y1" s="58">
        <v>44666.0</v>
      </c>
      <c r="Z1" s="58">
        <v>44682.0</v>
      </c>
      <c r="AA1" s="58">
        <v>44696.0</v>
      </c>
      <c r="AB1" s="58">
        <v>44713.0</v>
      </c>
      <c r="AC1" s="58">
        <v>44727.0</v>
      </c>
    </row>
    <row r="2">
      <c r="A2" s="41" t="str">
        <f>VLOOKUP(C2,'YTD Income Statement'!$F:$F,1,false)</f>
        <v>0000-5113</v>
      </c>
      <c r="B2" s="41" t="s">
        <v>954</v>
      </c>
      <c r="C2" s="41" t="s">
        <v>47</v>
      </c>
      <c r="D2" s="386" t="s">
        <v>36</v>
      </c>
      <c r="E2" s="386">
        <v>319840.96</v>
      </c>
      <c r="F2" s="386">
        <v>0.0</v>
      </c>
      <c r="G2" s="386">
        <v>21855.75</v>
      </c>
      <c r="H2" s="386">
        <v>0.0</v>
      </c>
      <c r="I2" s="386">
        <v>21855.75</v>
      </c>
      <c r="J2" s="386">
        <v>0.0</v>
      </c>
      <c r="K2" s="386">
        <v>21855.75</v>
      </c>
      <c r="L2" s="386">
        <v>0.0</v>
      </c>
      <c r="M2" s="386">
        <v>21855.75</v>
      </c>
      <c r="N2" s="386">
        <v>0.0</v>
      </c>
      <c r="O2" s="386">
        <v>21855.75</v>
      </c>
      <c r="P2" s="386">
        <v>0.0</v>
      </c>
      <c r="Q2" s="386">
        <v>21855.75</v>
      </c>
      <c r="R2" s="386">
        <v>0.0</v>
      </c>
      <c r="S2" s="386">
        <v>21855.75</v>
      </c>
      <c r="T2" s="386">
        <v>0.0</v>
      </c>
      <c r="U2" s="386">
        <v>21855.75</v>
      </c>
      <c r="V2" s="386">
        <v>0.0</v>
      </c>
      <c r="W2" s="386">
        <v>21855.75</v>
      </c>
      <c r="X2" s="386">
        <v>0.0</v>
      </c>
      <c r="Y2" s="386">
        <v>21855.75</v>
      </c>
      <c r="Z2" s="386">
        <v>0.0</v>
      </c>
      <c r="AA2" s="386">
        <v>21855.75</v>
      </c>
      <c r="AB2" s="386">
        <v>0.0</v>
      </c>
      <c r="AC2" s="386">
        <v>21855.75</v>
      </c>
    </row>
    <row r="3">
      <c r="A3" s="41" t="str">
        <f>VLOOKUP(C3,'YTD Income Statement'!$F:$F,1,false)</f>
        <v>0000-5151</v>
      </c>
      <c r="B3" s="41" t="s">
        <v>954</v>
      </c>
      <c r="C3" s="41" t="s">
        <v>48</v>
      </c>
      <c r="D3" s="386" t="s">
        <v>36</v>
      </c>
      <c r="E3" s="386">
        <v>8519.0</v>
      </c>
      <c r="F3" s="386">
        <v>0.0</v>
      </c>
      <c r="G3" s="386">
        <v>709.92</v>
      </c>
      <c r="H3" s="386">
        <v>0.0</v>
      </c>
      <c r="I3" s="386">
        <v>709.92</v>
      </c>
      <c r="J3" s="386">
        <v>0.0</v>
      </c>
      <c r="K3" s="386">
        <v>709.92</v>
      </c>
      <c r="L3" s="386">
        <v>0.0</v>
      </c>
      <c r="M3" s="386">
        <v>709.92</v>
      </c>
      <c r="N3" s="386">
        <v>0.0</v>
      </c>
      <c r="O3" s="386">
        <v>709.92</v>
      </c>
      <c r="P3" s="386">
        <v>0.0</v>
      </c>
      <c r="Q3" s="386">
        <v>709.92</v>
      </c>
      <c r="R3" s="386">
        <v>0.0</v>
      </c>
      <c r="S3" s="386">
        <v>709.92</v>
      </c>
      <c r="T3" s="386">
        <v>0.0</v>
      </c>
      <c r="U3" s="386">
        <v>709.92</v>
      </c>
      <c r="V3" s="386">
        <v>0.0</v>
      </c>
      <c r="W3" s="386">
        <v>709.92</v>
      </c>
      <c r="X3" s="386">
        <v>0.0</v>
      </c>
      <c r="Y3" s="386">
        <v>709.92</v>
      </c>
      <c r="Z3" s="386">
        <v>0.0</v>
      </c>
      <c r="AA3" s="386">
        <v>709.92</v>
      </c>
      <c r="AB3" s="386">
        <v>0.0</v>
      </c>
      <c r="AC3" s="386">
        <v>709.92</v>
      </c>
    </row>
    <row r="4">
      <c r="A4" s="41" t="str">
        <f>VLOOKUP(C4,'YTD Income Statement'!$F:$F,1,false)</f>
        <v>0000-5171</v>
      </c>
      <c r="B4" s="41" t="s">
        <v>954</v>
      </c>
      <c r="C4" s="41" t="s">
        <v>49</v>
      </c>
      <c r="D4" s="386" t="s">
        <v>36</v>
      </c>
      <c r="E4" s="386">
        <v>6850.0</v>
      </c>
      <c r="F4" s="386">
        <v>0.0</v>
      </c>
      <c r="G4" s="386">
        <v>570.83</v>
      </c>
      <c r="H4" s="386">
        <v>0.0</v>
      </c>
      <c r="I4" s="386">
        <v>570.83</v>
      </c>
      <c r="J4" s="386">
        <v>0.0</v>
      </c>
      <c r="K4" s="386">
        <v>570.83</v>
      </c>
      <c r="L4" s="386">
        <v>0.0</v>
      </c>
      <c r="M4" s="386">
        <v>570.83</v>
      </c>
      <c r="N4" s="386">
        <v>0.0</v>
      </c>
      <c r="O4" s="386">
        <v>570.83</v>
      </c>
      <c r="P4" s="386">
        <v>0.0</v>
      </c>
      <c r="Q4" s="386">
        <v>570.83</v>
      </c>
      <c r="R4" s="386">
        <v>0.0</v>
      </c>
      <c r="S4" s="386">
        <v>570.83</v>
      </c>
      <c r="T4" s="386">
        <v>0.0</v>
      </c>
      <c r="U4" s="386">
        <v>570.83</v>
      </c>
      <c r="V4" s="386">
        <v>0.0</v>
      </c>
      <c r="W4" s="386">
        <v>570.83</v>
      </c>
      <c r="X4" s="386">
        <v>0.0</v>
      </c>
      <c r="Y4" s="386">
        <v>570.83</v>
      </c>
      <c r="Z4" s="386">
        <v>0.0</v>
      </c>
      <c r="AA4" s="386">
        <v>570.83</v>
      </c>
      <c r="AB4" s="386">
        <v>0.0</v>
      </c>
      <c r="AC4" s="386">
        <v>570.83</v>
      </c>
    </row>
    <row r="5">
      <c r="A5" s="41" t="str">
        <f>VLOOKUP(C5,'YTD Income Statement'!$F:$F,1,false)</f>
        <v>0000-5192</v>
      </c>
      <c r="B5" s="41" t="s">
        <v>954</v>
      </c>
      <c r="C5" s="41" t="s">
        <v>50</v>
      </c>
      <c r="D5" s="386" t="s">
        <v>36</v>
      </c>
      <c r="E5" s="386">
        <f>sum(F5:AC5)</f>
        <v>562986.93</v>
      </c>
      <c r="F5" s="386">
        <v>0.0</v>
      </c>
      <c r="G5" s="386">
        <v>0.0</v>
      </c>
      <c r="H5" s="386">
        <v>0.0</v>
      </c>
      <c r="I5" s="386">
        <v>0.0</v>
      </c>
      <c r="J5" s="386">
        <v>0.0</v>
      </c>
      <c r="K5" s="386">
        <v>0.0</v>
      </c>
      <c r="L5" s="386">
        <v>0.0</v>
      </c>
      <c r="M5" s="386">
        <v>0.0</v>
      </c>
      <c r="N5" s="386">
        <v>0.0</v>
      </c>
      <c r="O5" s="386">
        <v>0.0</v>
      </c>
      <c r="P5" s="386">
        <v>0.0</v>
      </c>
      <c r="Q5" s="386">
        <v>0.0</v>
      </c>
      <c r="R5" s="386">
        <v>0.0</v>
      </c>
      <c r="S5" s="386">
        <v>0.0</v>
      </c>
      <c r="T5" s="386">
        <v>0.0</v>
      </c>
      <c r="U5" s="386">
        <v>0.0</v>
      </c>
      <c r="V5" s="386">
        <v>0.0</v>
      </c>
      <c r="W5" s="386">
        <v>0.0</v>
      </c>
      <c r="X5" s="386">
        <v>0.0</v>
      </c>
      <c r="Y5" s="386">
        <v>537986.93</v>
      </c>
      <c r="Z5" s="386">
        <v>0.0</v>
      </c>
      <c r="AA5" s="386">
        <v>25000.0</v>
      </c>
      <c r="AB5" s="386">
        <v>0.0</v>
      </c>
      <c r="AC5" s="386">
        <v>0.0</v>
      </c>
    </row>
    <row r="6">
      <c r="A6" s="41" t="str">
        <f>VLOOKUP(C6,'YTD Income Statement'!$F:$F,1,false)</f>
        <v>0000-5198</v>
      </c>
      <c r="B6" s="41" t="s">
        <v>954</v>
      </c>
      <c r="C6" s="41" t="s">
        <v>51</v>
      </c>
      <c r="D6" s="386" t="s">
        <v>36</v>
      </c>
      <c r="E6" s="386">
        <v>6941.0</v>
      </c>
      <c r="F6" s="386">
        <v>0.0</v>
      </c>
      <c r="G6" s="386">
        <v>578.42</v>
      </c>
      <c r="H6" s="386">
        <v>0.0</v>
      </c>
      <c r="I6" s="386">
        <v>578.42</v>
      </c>
      <c r="J6" s="386">
        <v>0.0</v>
      </c>
      <c r="K6" s="386">
        <v>578.42</v>
      </c>
      <c r="L6" s="386">
        <v>0.0</v>
      </c>
      <c r="M6" s="386">
        <v>578.42</v>
      </c>
      <c r="N6" s="386">
        <v>0.0</v>
      </c>
      <c r="O6" s="386">
        <v>578.42</v>
      </c>
      <c r="P6" s="386">
        <v>0.0</v>
      </c>
      <c r="Q6" s="386">
        <v>578.42</v>
      </c>
      <c r="R6" s="386">
        <v>0.0</v>
      </c>
      <c r="S6" s="386">
        <v>578.42</v>
      </c>
      <c r="T6" s="386">
        <v>0.0</v>
      </c>
      <c r="U6" s="386">
        <v>578.42</v>
      </c>
      <c r="V6" s="386">
        <v>0.0</v>
      </c>
      <c r="W6" s="386">
        <v>578.42</v>
      </c>
      <c r="X6" s="386">
        <v>0.0</v>
      </c>
      <c r="Y6" s="386">
        <v>578.42</v>
      </c>
      <c r="Z6" s="386">
        <v>0.0</v>
      </c>
      <c r="AA6" s="386">
        <v>578.42</v>
      </c>
      <c r="AB6" s="386">
        <v>0.0</v>
      </c>
      <c r="AC6" s="386">
        <v>578.42</v>
      </c>
    </row>
    <row r="7">
      <c r="A7" s="41" t="str">
        <f>VLOOKUP(C7,'YTD Income Statement'!$F:$F,1,false)</f>
        <v>0000-5311</v>
      </c>
      <c r="B7" s="41" t="s">
        <v>955</v>
      </c>
      <c r="C7" s="41" t="s">
        <v>52</v>
      </c>
      <c r="D7" s="386" t="s">
        <v>36</v>
      </c>
      <c r="E7" s="529">
        <f>4044757.55557302-E8</f>
        <v>3936812.378</v>
      </c>
      <c r="F7" s="386">
        <v>0.0</v>
      </c>
      <c r="G7" s="386">
        <v>346763.0</v>
      </c>
      <c r="H7" s="386">
        <v>0.0</v>
      </c>
      <c r="I7" s="386">
        <v>346763.0</v>
      </c>
      <c r="J7" s="386">
        <v>0.0</v>
      </c>
      <c r="K7" s="386">
        <v>346763.0</v>
      </c>
      <c r="L7" s="386">
        <v>0.0</v>
      </c>
      <c r="M7" s="386">
        <v>346763.0</v>
      </c>
      <c r="N7" s="386">
        <v>0.0</v>
      </c>
      <c r="O7" s="386">
        <v>346763.0</v>
      </c>
      <c r="P7" s="386">
        <v>0.0</v>
      </c>
      <c r="Q7" s="386">
        <v>346763.0</v>
      </c>
      <c r="R7" s="386">
        <v>0.0</v>
      </c>
      <c r="S7" s="386">
        <v>346763.0</v>
      </c>
      <c r="T7" s="386">
        <v>0.0</v>
      </c>
      <c r="U7" s="386">
        <v>346763.0</v>
      </c>
      <c r="V7" s="386">
        <v>0.0</v>
      </c>
      <c r="W7" s="386">
        <v>346763.0</v>
      </c>
      <c r="X7" s="386">
        <v>0.0</v>
      </c>
      <c r="Y7" s="386">
        <v>346763.0</v>
      </c>
      <c r="Z7" s="386">
        <v>0.0</v>
      </c>
      <c r="AA7" s="386">
        <f>(E7-'YTD Income Statement'!E19)/2</f>
        <v>1597564.189</v>
      </c>
      <c r="AB7" s="386">
        <v>0.0</v>
      </c>
      <c r="AC7" s="386">
        <f>AA7</f>
        <v>1597564.189</v>
      </c>
    </row>
    <row r="8">
      <c r="A8" s="41" t="str">
        <f>VLOOKUP(C8,'YTD Income Statement'!$F:$F,1,false)</f>
        <v>0000-5319</v>
      </c>
      <c r="B8" s="41" t="s">
        <v>955</v>
      </c>
      <c r="C8" s="41" t="s">
        <v>53</v>
      </c>
      <c r="D8" s="386" t="s">
        <v>36</v>
      </c>
      <c r="E8" s="386">
        <v>107945.17746282493</v>
      </c>
      <c r="F8" s="386">
        <v>0.0</v>
      </c>
      <c r="G8" s="386">
        <v>6774.92</v>
      </c>
      <c r="H8" s="386">
        <v>0.0</v>
      </c>
      <c r="I8" s="386">
        <v>6774.92</v>
      </c>
      <c r="J8" s="386">
        <v>0.0</v>
      </c>
      <c r="K8" s="386">
        <v>6774.92</v>
      </c>
      <c r="L8" s="386">
        <v>0.0</v>
      </c>
      <c r="M8" s="386">
        <v>6774.92</v>
      </c>
      <c r="N8" s="386">
        <v>0.0</v>
      </c>
      <c r="O8" s="386">
        <v>6774.92</v>
      </c>
      <c r="P8" s="386">
        <v>0.0</v>
      </c>
      <c r="Q8" s="386">
        <v>6774.92</v>
      </c>
      <c r="R8" s="386">
        <v>0.0</v>
      </c>
      <c r="S8" s="386">
        <v>6774.92</v>
      </c>
      <c r="T8" s="386">
        <v>0.0</v>
      </c>
      <c r="U8" s="386">
        <v>6774.92</v>
      </c>
      <c r="V8" s="386">
        <v>0.0</v>
      </c>
      <c r="W8" s="386">
        <v>6774.92</v>
      </c>
      <c r="X8" s="386">
        <v>0.0</v>
      </c>
      <c r="Y8" s="386">
        <v>6774.92</v>
      </c>
      <c r="Z8" s="386">
        <v>0.0</v>
      </c>
      <c r="AA8" s="386">
        <v>6774.92</v>
      </c>
      <c r="AB8" s="386">
        <v>0.0</v>
      </c>
      <c r="AC8" s="386">
        <v>6774.92</v>
      </c>
    </row>
    <row r="9">
      <c r="A9" s="41" t="str">
        <f>VLOOKUP(C9,'YTD Income Statement'!$F:$F,1,false)</f>
        <v>0000-5412</v>
      </c>
      <c r="B9" s="41" t="s">
        <v>956</v>
      </c>
      <c r="C9" s="41" t="s">
        <v>54</v>
      </c>
      <c r="D9" s="386" t="s">
        <v>36</v>
      </c>
      <c r="E9" s="313">
        <v>16554.9</v>
      </c>
      <c r="F9" s="386">
        <v>0.0</v>
      </c>
      <c r="G9" s="386">
        <v>0.0</v>
      </c>
      <c r="H9" s="386">
        <v>0.0</v>
      </c>
      <c r="I9" s="386">
        <v>0.0</v>
      </c>
      <c r="J9" s="386">
        <v>0.0</v>
      </c>
      <c r="K9" s="386">
        <v>0.0</v>
      </c>
      <c r="L9" s="386">
        <v>0.0</v>
      </c>
      <c r="M9" s="386">
        <v>0.0</v>
      </c>
      <c r="N9" s="386">
        <v>0.0</v>
      </c>
      <c r="O9" s="386">
        <v>0.0</v>
      </c>
      <c r="P9" s="386">
        <v>0.0</v>
      </c>
      <c r="Q9" s="386">
        <v>0.0</v>
      </c>
      <c r="R9" s="386">
        <v>0.0</v>
      </c>
      <c r="S9" s="386">
        <v>0.0</v>
      </c>
      <c r="T9" s="386">
        <v>0.0</v>
      </c>
      <c r="U9" s="386">
        <v>0.0</v>
      </c>
      <c r="V9" s="386">
        <v>0.0</v>
      </c>
      <c r="W9" s="386">
        <v>0.0</v>
      </c>
      <c r="X9" s="386">
        <v>0.0</v>
      </c>
      <c r="Y9" s="313">
        <v>16554.9</v>
      </c>
      <c r="Z9" s="386">
        <v>0.0</v>
      </c>
      <c r="AA9" s="386">
        <v>0.0</v>
      </c>
      <c r="AB9" s="386">
        <v>0.0</v>
      </c>
      <c r="AC9" s="386">
        <v>0.0</v>
      </c>
    </row>
    <row r="10">
      <c r="A10" s="41" t="str">
        <f>VLOOKUP(C10,'YTD Income Statement'!$F:$F,1,false)</f>
        <v>0000-5422</v>
      </c>
      <c r="B10" s="41" t="s">
        <v>956</v>
      </c>
      <c r="C10" s="41" t="s">
        <v>957</v>
      </c>
      <c r="D10" s="386" t="s">
        <v>36</v>
      </c>
      <c r="E10" s="386">
        <f t="shared" ref="E10:E11" si="1">sum(F10:AC10)</f>
        <v>1423087.864</v>
      </c>
      <c r="F10" s="386">
        <v>0.0</v>
      </c>
      <c r="G10" s="386">
        <v>0.0</v>
      </c>
      <c r="H10" s="386">
        <v>0.0</v>
      </c>
      <c r="I10" s="386">
        <v>0.0</v>
      </c>
      <c r="J10" s="386">
        <v>0.0</v>
      </c>
      <c r="K10" s="386">
        <v>0.0</v>
      </c>
      <c r="L10" s="386">
        <v>0.0</v>
      </c>
      <c r="M10" s="386">
        <v>0.0</v>
      </c>
      <c r="N10" s="386">
        <v>0.0</v>
      </c>
      <c r="O10" s="386">
        <v>0.0</v>
      </c>
      <c r="P10" s="386">
        <v>0.0</v>
      </c>
      <c r="Q10" s="386">
        <v>0.0</v>
      </c>
      <c r="R10" s="386">
        <v>0.0</v>
      </c>
      <c r="S10" s="386">
        <v>0.0</v>
      </c>
      <c r="T10" s="386">
        <v>0.0</v>
      </c>
      <c r="U10" s="386">
        <v>0.0</v>
      </c>
      <c r="V10" s="386">
        <v>0.0</v>
      </c>
      <c r="W10" s="386">
        <v>0.0</v>
      </c>
      <c r="X10" s="386">
        <v>0.0</v>
      </c>
      <c r="Y10" s="529">
        <v>1382498.69375</v>
      </c>
      <c r="Z10" s="529">
        <v>40589.169999999984</v>
      </c>
      <c r="AA10" s="530">
        <v>0.0</v>
      </c>
      <c r="AB10" s="386">
        <v>0.0</v>
      </c>
      <c r="AC10" s="386">
        <v>0.0</v>
      </c>
    </row>
    <row r="11">
      <c r="A11" s="41" t="str">
        <f>VLOOKUP(C11,'YTD Income Statement'!$F:$F,1,false)</f>
        <v>0000-5423</v>
      </c>
      <c r="B11" s="41" t="s">
        <v>956</v>
      </c>
      <c r="C11" s="41" t="s">
        <v>968</v>
      </c>
      <c r="D11" s="386" t="s">
        <v>36</v>
      </c>
      <c r="E11" s="386">
        <f t="shared" si="1"/>
        <v>333253</v>
      </c>
      <c r="F11" s="386">
        <v>0.0</v>
      </c>
      <c r="G11" s="386">
        <v>0.0</v>
      </c>
      <c r="H11" s="386">
        <v>0.0</v>
      </c>
      <c r="I11" s="386">
        <v>0.0</v>
      </c>
      <c r="J11" s="386">
        <v>0.0</v>
      </c>
      <c r="K11" s="386">
        <v>0.0</v>
      </c>
      <c r="L11" s="386">
        <v>0.0</v>
      </c>
      <c r="M11" s="386">
        <v>0.0</v>
      </c>
      <c r="N11" s="386">
        <v>0.0</v>
      </c>
      <c r="O11" s="386">
        <v>0.0</v>
      </c>
      <c r="P11" s="386">
        <v>0.0</v>
      </c>
      <c r="Q11" s="386">
        <v>0.0</v>
      </c>
      <c r="R11" s="386">
        <v>0.0</v>
      </c>
      <c r="S11" s="386">
        <v>0.0</v>
      </c>
      <c r="T11" s="386">
        <v>0.0</v>
      </c>
      <c r="U11" s="386">
        <v>0.0</v>
      </c>
      <c r="V11" s="386">
        <v>0.0</v>
      </c>
      <c r="W11" s="386">
        <v>0.0</v>
      </c>
      <c r="X11" s="386">
        <v>0.0</v>
      </c>
      <c r="Y11" s="529">
        <v>242797.25</v>
      </c>
      <c r="Z11" s="386">
        <v>0.0</v>
      </c>
      <c r="AA11" s="386">
        <v>0.0</v>
      </c>
      <c r="AB11" s="529">
        <f>83455.75+7000</f>
        <v>90455.75</v>
      </c>
      <c r="AC11" s="386">
        <v>0.0</v>
      </c>
    </row>
    <row r="12">
      <c r="A12" s="41" t="str">
        <f>VLOOKUP(C12,'YTD Income Statement'!$F:$F,1,false)</f>
        <v>0000-5441</v>
      </c>
      <c r="B12" s="41" t="s">
        <v>956</v>
      </c>
      <c r="C12" s="41" t="s">
        <v>56</v>
      </c>
      <c r="D12" s="386" t="s">
        <v>36</v>
      </c>
      <c r="E12" s="386">
        <v>90645.0</v>
      </c>
      <c r="F12" s="386">
        <v>0.0</v>
      </c>
      <c r="G12" s="386">
        <v>0.0</v>
      </c>
      <c r="H12" s="386">
        <v>0.0</v>
      </c>
      <c r="I12" s="386">
        <v>0.0</v>
      </c>
      <c r="J12" s="386">
        <v>0.0</v>
      </c>
      <c r="K12" s="386">
        <v>0.0</v>
      </c>
      <c r="L12" s="386">
        <v>0.0</v>
      </c>
      <c r="M12" s="386">
        <v>0.0</v>
      </c>
      <c r="N12" s="386">
        <v>0.0</v>
      </c>
      <c r="O12" s="386">
        <v>0.0</v>
      </c>
      <c r="P12" s="386">
        <v>0.0</v>
      </c>
      <c r="Q12" s="386">
        <v>0.0</v>
      </c>
      <c r="R12" s="386">
        <v>0.0</v>
      </c>
      <c r="S12" s="386">
        <v>0.0</v>
      </c>
      <c r="T12" s="386">
        <v>0.0</v>
      </c>
      <c r="U12" s="386">
        <f>90645-15000</f>
        <v>75645</v>
      </c>
      <c r="V12" s="386">
        <v>0.0</v>
      </c>
      <c r="W12" s="386">
        <v>0.0</v>
      </c>
      <c r="X12" s="386">
        <v>0.0</v>
      </c>
      <c r="Y12" s="386">
        <v>0.0</v>
      </c>
      <c r="Z12" s="386">
        <v>0.0</v>
      </c>
      <c r="AA12" s="386">
        <v>0.0</v>
      </c>
      <c r="AB12" s="386">
        <v>0.0</v>
      </c>
      <c r="AC12" s="386">
        <v>15000.0</v>
      </c>
    </row>
    <row r="13">
      <c r="A13" s="41" t="str">
        <f>VLOOKUP(C13,'YTD Income Statement'!$F:$F,1,false)</f>
        <v>0000-5445</v>
      </c>
      <c r="B13" s="41" t="s">
        <v>956</v>
      </c>
      <c r="C13" s="41" t="s">
        <v>57</v>
      </c>
      <c r="D13" s="386" t="s">
        <v>36</v>
      </c>
      <c r="E13" s="386">
        <v>86286.26</v>
      </c>
      <c r="F13" s="386">
        <v>0.0</v>
      </c>
      <c r="G13" s="386">
        <v>7190.52</v>
      </c>
      <c r="H13" s="386">
        <v>0.0</v>
      </c>
      <c r="I13" s="386">
        <v>7190.52</v>
      </c>
      <c r="J13" s="386">
        <v>0.0</v>
      </c>
      <c r="K13" s="386">
        <v>7190.52</v>
      </c>
      <c r="L13" s="386">
        <v>0.0</v>
      </c>
      <c r="M13" s="386">
        <v>7190.52</v>
      </c>
      <c r="N13" s="386">
        <v>0.0</v>
      </c>
      <c r="O13" s="386">
        <v>7190.52</v>
      </c>
      <c r="P13" s="386">
        <v>0.0</v>
      </c>
      <c r="Q13" s="386">
        <v>7190.52</v>
      </c>
      <c r="R13" s="386">
        <v>0.0</v>
      </c>
      <c r="S13" s="386">
        <v>7190.52</v>
      </c>
      <c r="T13" s="386">
        <v>0.0</v>
      </c>
      <c r="U13" s="386">
        <v>7190.52</v>
      </c>
      <c r="V13" s="386">
        <v>0.0</v>
      </c>
      <c r="W13" s="386">
        <v>7190.52</v>
      </c>
      <c r="X13" s="386">
        <v>0.0</v>
      </c>
      <c r="Y13" s="386">
        <v>7190.52</v>
      </c>
      <c r="Z13" s="386">
        <v>0.0</v>
      </c>
      <c r="AA13" s="386">
        <v>7190.52</v>
      </c>
      <c r="AB13" s="386">
        <v>0.0</v>
      </c>
      <c r="AC13" s="386">
        <v>7190.52</v>
      </c>
    </row>
    <row r="14">
      <c r="A14" s="41" t="str">
        <f>VLOOKUP(C14,'YTD Income Statement'!$F:$F,1,false)</f>
        <v>0000-5446</v>
      </c>
      <c r="B14" s="41" t="s">
        <v>956</v>
      </c>
      <c r="C14" s="41" t="s">
        <v>58</v>
      </c>
      <c r="D14" s="386" t="s">
        <v>36</v>
      </c>
      <c r="E14" s="371">
        <v>4570.0</v>
      </c>
      <c r="F14" s="386">
        <v>0.0</v>
      </c>
      <c r="G14" s="386">
        <v>380.83</v>
      </c>
      <c r="H14" s="386">
        <v>0.0</v>
      </c>
      <c r="I14" s="386">
        <v>380.83</v>
      </c>
      <c r="J14" s="386">
        <v>0.0</v>
      </c>
      <c r="K14" s="386">
        <v>380.83</v>
      </c>
      <c r="L14" s="386">
        <v>0.0</v>
      </c>
      <c r="M14" s="386">
        <v>380.83</v>
      </c>
      <c r="N14" s="386">
        <v>0.0</v>
      </c>
      <c r="O14" s="386">
        <v>380.83</v>
      </c>
      <c r="P14" s="386">
        <v>0.0</v>
      </c>
      <c r="Q14" s="386">
        <v>380.83</v>
      </c>
      <c r="R14" s="386">
        <v>0.0</v>
      </c>
      <c r="S14" s="386">
        <v>380.83</v>
      </c>
      <c r="T14" s="386">
        <v>0.0</v>
      </c>
      <c r="U14" s="386">
        <v>380.83</v>
      </c>
      <c r="V14" s="386">
        <v>0.0</v>
      </c>
      <c r="W14" s="386">
        <v>380.83</v>
      </c>
      <c r="X14" s="386">
        <v>0.0</v>
      </c>
      <c r="Y14" s="386">
        <v>380.83</v>
      </c>
      <c r="Z14" s="386">
        <v>0.0</v>
      </c>
      <c r="AA14" s="386">
        <v>380.83</v>
      </c>
      <c r="AB14" s="386">
        <v>0.0</v>
      </c>
      <c r="AC14" s="386">
        <v>380.83</v>
      </c>
    </row>
    <row r="15">
      <c r="A15" s="41" t="str">
        <f>VLOOKUP(C15,'YTD Income Statement'!$F:$F,1,false)</f>
        <v>0000-5451</v>
      </c>
      <c r="B15" s="41" t="s">
        <v>956</v>
      </c>
      <c r="C15" s="41" t="s">
        <v>59</v>
      </c>
      <c r="D15" s="386" t="s">
        <v>36</v>
      </c>
      <c r="E15" s="386">
        <v>73511.06</v>
      </c>
      <c r="F15" s="386">
        <v>0.0</v>
      </c>
      <c r="G15" s="386">
        <v>0.0</v>
      </c>
      <c r="H15" s="386">
        <v>0.0</v>
      </c>
      <c r="I15" s="386">
        <v>0.0</v>
      </c>
      <c r="J15" s="386">
        <v>0.0</v>
      </c>
      <c r="K15" s="386">
        <v>0.0</v>
      </c>
      <c r="L15" s="386">
        <v>0.0</v>
      </c>
      <c r="M15" s="386">
        <v>0.0</v>
      </c>
      <c r="N15" s="386">
        <v>0.0</v>
      </c>
      <c r="O15" s="386">
        <v>0.0</v>
      </c>
      <c r="P15" s="386">
        <v>0.0</v>
      </c>
      <c r="Q15" s="386">
        <v>0.0</v>
      </c>
      <c r="R15" s="386">
        <v>0.0</v>
      </c>
      <c r="S15" s="386">
        <v>0.0</v>
      </c>
      <c r="T15" s="386">
        <v>0.0</v>
      </c>
      <c r="U15" s="386">
        <v>0.0</v>
      </c>
      <c r="V15" s="386">
        <v>0.0</v>
      </c>
      <c r="W15" s="386">
        <v>0.0</v>
      </c>
      <c r="X15" s="386">
        <v>0.0</v>
      </c>
      <c r="Y15" s="386">
        <v>0.0</v>
      </c>
      <c r="Z15" s="386">
        <v>0.0</v>
      </c>
      <c r="AA15" s="386">
        <v>0.0</v>
      </c>
      <c r="AB15" s="386">
        <v>0.0</v>
      </c>
      <c r="AC15" s="386">
        <v>194040.01</v>
      </c>
    </row>
    <row r="16">
      <c r="A16" s="41" t="str">
        <f>VLOOKUP(C16,'YTD Income Statement'!$F:$F,1,false)</f>
        <v>0000-5461</v>
      </c>
      <c r="B16" s="41" t="s">
        <v>956</v>
      </c>
      <c r="C16" s="41" t="s">
        <v>60</v>
      </c>
      <c r="D16" s="386" t="s">
        <v>36</v>
      </c>
      <c r="E16" s="386">
        <v>7219.91</v>
      </c>
      <c r="F16" s="386">
        <v>0.0</v>
      </c>
      <c r="G16" s="386">
        <v>0.0</v>
      </c>
      <c r="H16" s="386">
        <v>0.0</v>
      </c>
      <c r="I16" s="386">
        <v>0.0</v>
      </c>
      <c r="J16" s="386">
        <v>0.0</v>
      </c>
      <c r="K16" s="386">
        <v>0.0</v>
      </c>
      <c r="L16" s="386">
        <v>0.0</v>
      </c>
      <c r="M16" s="386">
        <v>0.0</v>
      </c>
      <c r="N16" s="386">
        <v>0.0</v>
      </c>
      <c r="O16" s="386">
        <v>0.0</v>
      </c>
      <c r="P16" s="386">
        <v>0.0</v>
      </c>
      <c r="Q16" s="386">
        <v>0.0</v>
      </c>
      <c r="R16" s="386">
        <v>0.0</v>
      </c>
      <c r="S16" s="386">
        <v>0.0</v>
      </c>
      <c r="T16" s="386">
        <v>0.0</v>
      </c>
      <c r="U16" s="386">
        <v>0.0</v>
      </c>
      <c r="V16" s="386">
        <v>0.0</v>
      </c>
      <c r="W16" s="386">
        <v>0.0</v>
      </c>
      <c r="X16" s="386">
        <v>0.0</v>
      </c>
      <c r="Y16" s="386">
        <v>0.0</v>
      </c>
      <c r="Z16" s="386">
        <v>0.0</v>
      </c>
      <c r="AA16" s="386">
        <v>0.0</v>
      </c>
      <c r="AB16" s="386">
        <v>0.0</v>
      </c>
      <c r="AC16" s="386">
        <v>20000.0</v>
      </c>
    </row>
    <row r="17">
      <c r="A17" s="41" t="str">
        <f>VLOOKUP(C17,'YTD Income Statement'!$F:$F,1,false)</f>
        <v>0000-5465</v>
      </c>
      <c r="B17" s="41" t="s">
        <v>956</v>
      </c>
      <c r="C17" s="41" t="s">
        <v>61</v>
      </c>
      <c r="D17" s="386" t="s">
        <v>36</v>
      </c>
      <c r="E17" s="386">
        <v>7990.51</v>
      </c>
      <c r="F17" s="386">
        <v>0.0</v>
      </c>
      <c r="G17" s="386">
        <v>0.0</v>
      </c>
      <c r="H17" s="386">
        <v>0.0</v>
      </c>
      <c r="I17" s="386">
        <v>0.0</v>
      </c>
      <c r="J17" s="386">
        <v>0.0</v>
      </c>
      <c r="K17" s="386">
        <v>0.0</v>
      </c>
      <c r="L17" s="386">
        <v>0.0</v>
      </c>
      <c r="M17" s="386">
        <v>0.0</v>
      </c>
      <c r="N17" s="386">
        <v>0.0</v>
      </c>
      <c r="O17" s="386">
        <v>0.0</v>
      </c>
      <c r="P17" s="386">
        <v>0.0</v>
      </c>
      <c r="Q17" s="386">
        <v>0.0</v>
      </c>
      <c r="R17" s="386">
        <v>0.0</v>
      </c>
      <c r="S17" s="386">
        <v>0.0</v>
      </c>
      <c r="T17" s="386">
        <v>0.0</v>
      </c>
      <c r="U17" s="386">
        <v>0.0</v>
      </c>
      <c r="V17" s="386">
        <v>0.0</v>
      </c>
      <c r="W17" s="386">
        <v>0.0</v>
      </c>
      <c r="X17" s="386">
        <v>0.0</v>
      </c>
      <c r="Y17" s="386">
        <v>0.0</v>
      </c>
      <c r="Z17" s="386">
        <v>0.0</v>
      </c>
      <c r="AA17" s="386">
        <v>0.0</v>
      </c>
      <c r="AB17" s="386">
        <v>0.0</v>
      </c>
      <c r="AC17" s="386">
        <v>22492.0</v>
      </c>
    </row>
    <row r="18">
      <c r="A18" s="41" t="str">
        <f>VLOOKUP(C18,'YTD Income Statement'!$F:$F,1,false)</f>
        <v>0000-5497</v>
      </c>
      <c r="B18" s="41" t="s">
        <v>956</v>
      </c>
      <c r="C18" s="41" t="s">
        <v>62</v>
      </c>
      <c r="D18" s="386" t="s">
        <v>36</v>
      </c>
      <c r="E18" s="531">
        <f>sum(F18:AC18)</f>
        <v>895042.638</v>
      </c>
      <c r="F18" s="386">
        <v>392891.84</v>
      </c>
      <c r="G18" s="531">
        <v>0.0</v>
      </c>
      <c r="H18" s="531">
        <v>0.0</v>
      </c>
      <c r="I18" s="531">
        <v>0.0</v>
      </c>
      <c r="J18" s="531">
        <v>0.0</v>
      </c>
      <c r="K18" s="531">
        <v>0.0</v>
      </c>
      <c r="L18" s="531">
        <v>0.0</v>
      </c>
      <c r="M18" s="531">
        <v>0.0</v>
      </c>
      <c r="N18" s="531">
        <v>0.0</v>
      </c>
      <c r="O18" s="531">
        <v>0.0</v>
      </c>
      <c r="P18" s="531">
        <v>0.0</v>
      </c>
      <c r="Q18" s="531">
        <v>0.0</v>
      </c>
      <c r="R18" s="531">
        <v>0.0</v>
      </c>
      <c r="S18" s="531">
        <v>0.0</v>
      </c>
      <c r="T18" s="531">
        <v>0.0</v>
      </c>
      <c r="U18" s="532">
        <v>0.0</v>
      </c>
      <c r="V18" s="531">
        <v>0.0</v>
      </c>
      <c r="W18" s="531">
        <v>0.0</v>
      </c>
      <c r="X18" s="531">
        <v>0.0</v>
      </c>
      <c r="Y18" s="531">
        <v>0.0</v>
      </c>
      <c r="Z18" s="531">
        <v>0.0</v>
      </c>
      <c r="AA18" s="531">
        <v>0.0</v>
      </c>
      <c r="AB18" s="533">
        <f>386752+115398.798</f>
        <v>502150.798</v>
      </c>
      <c r="AC18" s="531">
        <v>0.0</v>
      </c>
    </row>
    <row r="19">
      <c r="A19" s="41" t="str">
        <f>VLOOKUP(C19,'YTD Income Statement'!$F:$F,1,false)</f>
        <v>#N/A</v>
      </c>
      <c r="B19" s="41" t="s">
        <v>958</v>
      </c>
      <c r="C19" s="41" t="s">
        <v>63</v>
      </c>
      <c r="D19" s="386" t="s">
        <v>35</v>
      </c>
      <c r="E19" s="386">
        <v>1091607.0</v>
      </c>
      <c r="F19" s="386">
        <v>0.0</v>
      </c>
      <c r="G19" s="386">
        <v>90967.25</v>
      </c>
      <c r="H19" s="386">
        <v>0.0</v>
      </c>
      <c r="I19" s="386">
        <v>90967.25</v>
      </c>
      <c r="J19" s="386">
        <v>0.0</v>
      </c>
      <c r="K19" s="386">
        <v>90967.25</v>
      </c>
      <c r="L19" s="386">
        <v>0.0</v>
      </c>
      <c r="M19" s="386">
        <v>90967.25</v>
      </c>
      <c r="N19" s="386">
        <v>0.0</v>
      </c>
      <c r="O19" s="386">
        <v>90967.25</v>
      </c>
      <c r="P19" s="386">
        <v>0.0</v>
      </c>
      <c r="Q19" s="386">
        <v>90967.25</v>
      </c>
      <c r="R19" s="386">
        <v>0.0</v>
      </c>
      <c r="S19" s="386">
        <v>90967.25</v>
      </c>
      <c r="T19" s="386">
        <v>0.0</v>
      </c>
      <c r="U19" s="386">
        <v>90967.25</v>
      </c>
      <c r="V19" s="386">
        <v>0.0</v>
      </c>
      <c r="W19" s="386">
        <v>90967.25</v>
      </c>
      <c r="X19" s="386">
        <v>0.0</v>
      </c>
      <c r="Y19" s="386">
        <v>90967.25</v>
      </c>
      <c r="Z19" s="386">
        <v>0.0</v>
      </c>
      <c r="AA19" s="386">
        <v>90967.25</v>
      </c>
      <c r="AB19" s="386">
        <v>0.0</v>
      </c>
      <c r="AC19" s="386">
        <v>90967.25</v>
      </c>
    </row>
    <row r="20">
      <c r="A20" s="41" t="str">
        <f>VLOOKUP(C20,'YTD Income Statement'!$F:$F,1,false)</f>
        <v>#N/A</v>
      </c>
      <c r="B20" s="41" t="s">
        <v>959</v>
      </c>
      <c r="C20" s="41" t="s">
        <v>64</v>
      </c>
      <c r="D20" s="386" t="s">
        <v>35</v>
      </c>
      <c r="E20" s="386">
        <v>152827.02</v>
      </c>
      <c r="F20" s="386">
        <v>0.0</v>
      </c>
      <c r="G20" s="386">
        <v>12735.59</v>
      </c>
      <c r="H20" s="386">
        <v>0.0</v>
      </c>
      <c r="I20" s="386">
        <v>12735.59</v>
      </c>
      <c r="J20" s="386">
        <v>0.0</v>
      </c>
      <c r="K20" s="386">
        <v>12735.59</v>
      </c>
      <c r="L20" s="386">
        <v>0.0</v>
      </c>
      <c r="M20" s="386">
        <v>12735.59</v>
      </c>
      <c r="N20" s="386">
        <v>0.0</v>
      </c>
      <c r="O20" s="386">
        <v>12735.59</v>
      </c>
      <c r="P20" s="386">
        <v>0.0</v>
      </c>
      <c r="Q20" s="386">
        <v>12735.59</v>
      </c>
      <c r="R20" s="386">
        <v>0.0</v>
      </c>
      <c r="S20" s="386">
        <v>12735.59</v>
      </c>
      <c r="T20" s="386">
        <v>0.0</v>
      </c>
      <c r="U20" s="386">
        <v>12735.59</v>
      </c>
      <c r="V20" s="386">
        <v>0.0</v>
      </c>
      <c r="W20" s="386">
        <v>12735.59</v>
      </c>
      <c r="X20" s="386">
        <v>0.0</v>
      </c>
      <c r="Y20" s="386">
        <v>12735.59</v>
      </c>
      <c r="Z20" s="386">
        <v>0.0</v>
      </c>
      <c r="AA20" s="386">
        <v>12735.59</v>
      </c>
      <c r="AB20" s="386">
        <v>0.0</v>
      </c>
      <c r="AC20" s="386">
        <v>12735.59</v>
      </c>
    </row>
    <row r="21">
      <c r="A21" s="41" t="str">
        <f>VLOOKUP(C21,'YTD Income Statement'!$F:$F,1,false)</f>
        <v>#N/A</v>
      </c>
      <c r="B21" s="41" t="s">
        <v>959</v>
      </c>
      <c r="C21" s="41" t="s">
        <v>65</v>
      </c>
      <c r="D21" s="386" t="s">
        <v>35</v>
      </c>
      <c r="E21" s="386">
        <v>67679.63</v>
      </c>
      <c r="F21" s="386">
        <v>0.0</v>
      </c>
      <c r="G21" s="386">
        <v>5639.97</v>
      </c>
      <c r="H21" s="386">
        <v>0.0</v>
      </c>
      <c r="I21" s="386">
        <v>5639.97</v>
      </c>
      <c r="J21" s="386">
        <v>0.0</v>
      </c>
      <c r="K21" s="386">
        <v>5639.97</v>
      </c>
      <c r="L21" s="386">
        <v>0.0</v>
      </c>
      <c r="M21" s="386">
        <v>5639.97</v>
      </c>
      <c r="N21" s="386">
        <v>0.0</v>
      </c>
      <c r="O21" s="386">
        <v>5639.97</v>
      </c>
      <c r="P21" s="386">
        <v>0.0</v>
      </c>
      <c r="Q21" s="386">
        <v>5639.97</v>
      </c>
      <c r="R21" s="386">
        <v>0.0</v>
      </c>
      <c r="S21" s="386">
        <v>5639.97</v>
      </c>
      <c r="T21" s="386">
        <v>0.0</v>
      </c>
      <c r="U21" s="386">
        <v>5639.97</v>
      </c>
      <c r="V21" s="386">
        <v>0.0</v>
      </c>
      <c r="W21" s="386">
        <v>5639.97</v>
      </c>
      <c r="X21" s="386">
        <v>0.0</v>
      </c>
      <c r="Y21" s="386">
        <v>5639.97</v>
      </c>
      <c r="Z21" s="386">
        <v>0.0</v>
      </c>
      <c r="AA21" s="386">
        <v>5639.97</v>
      </c>
      <c r="AB21" s="386">
        <v>0.0</v>
      </c>
      <c r="AC21" s="386">
        <v>5639.97</v>
      </c>
    </row>
    <row r="22">
      <c r="A22" s="41" t="str">
        <f>VLOOKUP(C22,'YTD Income Statement'!$F:$F,1,false)</f>
        <v>#N/A</v>
      </c>
      <c r="B22" s="41" t="s">
        <v>959</v>
      </c>
      <c r="C22" s="41" t="s">
        <v>66</v>
      </c>
      <c r="D22" s="386" t="s">
        <v>35</v>
      </c>
      <c r="E22" s="386">
        <v>15828.3</v>
      </c>
      <c r="F22" s="386">
        <v>0.0</v>
      </c>
      <c r="G22" s="386">
        <v>1319.03</v>
      </c>
      <c r="H22" s="386">
        <v>0.0</v>
      </c>
      <c r="I22" s="386">
        <v>1319.03</v>
      </c>
      <c r="J22" s="386">
        <v>0.0</v>
      </c>
      <c r="K22" s="386">
        <v>1319.03</v>
      </c>
      <c r="L22" s="386">
        <v>0.0</v>
      </c>
      <c r="M22" s="386">
        <v>1319.03</v>
      </c>
      <c r="N22" s="386">
        <v>0.0</v>
      </c>
      <c r="O22" s="386">
        <v>1319.03</v>
      </c>
      <c r="P22" s="386">
        <v>0.0</v>
      </c>
      <c r="Q22" s="386">
        <v>1319.03</v>
      </c>
      <c r="R22" s="386">
        <v>0.0</v>
      </c>
      <c r="S22" s="386">
        <v>1319.03</v>
      </c>
      <c r="T22" s="386">
        <v>0.0</v>
      </c>
      <c r="U22" s="386">
        <v>1319.03</v>
      </c>
      <c r="V22" s="386">
        <v>0.0</v>
      </c>
      <c r="W22" s="386">
        <v>1319.03</v>
      </c>
      <c r="X22" s="386">
        <v>0.0</v>
      </c>
      <c r="Y22" s="386">
        <v>1319.03</v>
      </c>
      <c r="Z22" s="386">
        <v>0.0</v>
      </c>
      <c r="AA22" s="386">
        <v>1319.03</v>
      </c>
      <c r="AB22" s="386">
        <v>0.0</v>
      </c>
      <c r="AC22" s="386">
        <v>1319.03</v>
      </c>
    </row>
    <row r="23">
      <c r="A23" s="41" t="str">
        <f>VLOOKUP(C23,'YTD Income Statement'!$F:$F,1,false)</f>
        <v>#N/A</v>
      </c>
      <c r="B23" s="41" t="s">
        <v>959</v>
      </c>
      <c r="C23" s="41" t="s">
        <v>67</v>
      </c>
      <c r="D23" s="386" t="s">
        <v>35</v>
      </c>
      <c r="E23" s="386">
        <v>81000.0</v>
      </c>
      <c r="F23" s="386">
        <v>0.0</v>
      </c>
      <c r="G23" s="386">
        <v>6750.0</v>
      </c>
      <c r="H23" s="386">
        <v>0.0</v>
      </c>
      <c r="I23" s="386">
        <v>6750.0</v>
      </c>
      <c r="J23" s="386">
        <v>0.0</v>
      </c>
      <c r="K23" s="386">
        <v>6750.0</v>
      </c>
      <c r="L23" s="386">
        <v>0.0</v>
      </c>
      <c r="M23" s="386">
        <v>6750.0</v>
      </c>
      <c r="N23" s="386">
        <v>0.0</v>
      </c>
      <c r="O23" s="386">
        <v>6750.0</v>
      </c>
      <c r="P23" s="386">
        <v>0.0</v>
      </c>
      <c r="Q23" s="386">
        <v>6750.0</v>
      </c>
      <c r="R23" s="386">
        <v>0.0</v>
      </c>
      <c r="S23" s="386">
        <v>6750.0</v>
      </c>
      <c r="T23" s="386">
        <v>0.0</v>
      </c>
      <c r="U23" s="386">
        <v>6750.0</v>
      </c>
      <c r="V23" s="386">
        <v>0.0</v>
      </c>
      <c r="W23" s="386">
        <v>6750.0</v>
      </c>
      <c r="X23" s="386">
        <v>0.0</v>
      </c>
      <c r="Y23" s="386">
        <v>6750.0</v>
      </c>
      <c r="Z23" s="386">
        <v>0.0</v>
      </c>
      <c r="AA23" s="386">
        <v>6750.0</v>
      </c>
      <c r="AB23" s="386">
        <v>0.0</v>
      </c>
      <c r="AC23" s="386">
        <v>6750.0</v>
      </c>
    </row>
    <row r="24">
      <c r="A24" s="41" t="str">
        <f>VLOOKUP(C24,'YTD Income Statement'!$F:$F,1,false)</f>
        <v>#N/A</v>
      </c>
      <c r="B24" s="41" t="s">
        <v>960</v>
      </c>
      <c r="C24" s="41" t="s">
        <v>68</v>
      </c>
      <c r="D24" s="386" t="s">
        <v>35</v>
      </c>
      <c r="E24" s="386">
        <v>530987.49</v>
      </c>
      <c r="F24" s="386">
        <v>580.42</v>
      </c>
      <c r="G24" s="386">
        <v>52641.7</v>
      </c>
      <c r="H24" s="386">
        <v>580.42</v>
      </c>
      <c r="I24" s="386">
        <v>51005.0</v>
      </c>
      <c r="J24" s="386">
        <v>580.42</v>
      </c>
      <c r="K24" s="386">
        <v>43166.1</v>
      </c>
      <c r="L24" s="386">
        <v>580.42</v>
      </c>
      <c r="M24" s="386">
        <v>41493.4</v>
      </c>
      <c r="N24" s="386">
        <v>580.42</v>
      </c>
      <c r="O24" s="386">
        <v>41493.4</v>
      </c>
      <c r="P24" s="386">
        <v>580.42</v>
      </c>
      <c r="Q24" s="386">
        <v>56493.4</v>
      </c>
      <c r="R24" s="386">
        <v>580.42</v>
      </c>
      <c r="S24" s="386">
        <v>43825.6</v>
      </c>
      <c r="T24" s="386">
        <v>580.42</v>
      </c>
      <c r="U24" s="386">
        <v>34405.4</v>
      </c>
      <c r="V24" s="386">
        <v>22457.27</v>
      </c>
      <c r="W24" s="386">
        <v>34405.4</v>
      </c>
      <c r="X24" s="386">
        <v>580.42</v>
      </c>
      <c r="Y24" s="386">
        <v>34405.4</v>
      </c>
      <c r="Z24" s="386">
        <v>580.42</v>
      </c>
      <c r="AA24" s="386">
        <v>34405.4</v>
      </c>
      <c r="AB24" s="386">
        <v>580.42</v>
      </c>
      <c r="AC24" s="386">
        <v>34405.4</v>
      </c>
    </row>
    <row r="25">
      <c r="A25" s="41" t="str">
        <f>VLOOKUP(C25,'YTD Income Statement'!$F:$F,1,false)</f>
        <v>1131-6411</v>
      </c>
      <c r="B25" s="41" t="s">
        <v>960</v>
      </c>
      <c r="C25" s="41" t="s">
        <v>69</v>
      </c>
      <c r="D25" s="386" t="s">
        <v>35</v>
      </c>
      <c r="E25" s="386">
        <f t="shared" ref="E25:E26" si="2">sum(F25:AC25)</f>
        <v>10075.99</v>
      </c>
      <c r="F25" s="386">
        <v>0.0</v>
      </c>
      <c r="G25" s="386">
        <v>0.0</v>
      </c>
      <c r="H25" s="386">
        <v>0.0</v>
      </c>
      <c r="I25" s="386">
        <v>0.0</v>
      </c>
      <c r="J25" s="386">
        <v>0.0</v>
      </c>
      <c r="K25" s="386">
        <v>0.0</v>
      </c>
      <c r="L25" s="386">
        <v>0.0</v>
      </c>
      <c r="M25" s="386">
        <v>0.0</v>
      </c>
      <c r="N25" s="386">
        <v>0.0</v>
      </c>
      <c r="O25" s="386">
        <v>0.0</v>
      </c>
      <c r="P25" s="386">
        <v>0.0</v>
      </c>
      <c r="Q25" s="386">
        <v>0.0</v>
      </c>
      <c r="R25" s="386">
        <v>0.0</v>
      </c>
      <c r="S25" s="386">
        <v>0.0</v>
      </c>
      <c r="T25" s="386">
        <v>0.0</v>
      </c>
      <c r="U25" s="386">
        <v>0.0</v>
      </c>
      <c r="V25" s="386">
        <v>0.0</v>
      </c>
      <c r="W25" s="386">
        <v>0.0</v>
      </c>
      <c r="X25" s="386">
        <v>0.0</v>
      </c>
      <c r="Y25" s="386">
        <v>8075.99</v>
      </c>
      <c r="Z25" s="386">
        <v>0.0</v>
      </c>
      <c r="AA25" s="386">
        <v>1000.0</v>
      </c>
      <c r="AB25" s="386">
        <v>0.0</v>
      </c>
      <c r="AC25" s="386">
        <v>1000.0</v>
      </c>
    </row>
    <row r="26">
      <c r="A26" s="41" t="str">
        <f>VLOOKUP(C26,'YTD Income Statement'!$F:$F,1,false)</f>
        <v>1131-6412</v>
      </c>
      <c r="B26" s="41" t="s">
        <v>960</v>
      </c>
      <c r="C26" s="41" t="s">
        <v>70</v>
      </c>
      <c r="D26" s="386" t="s">
        <v>35</v>
      </c>
      <c r="E26" s="386">
        <f t="shared" si="2"/>
        <v>165270.85</v>
      </c>
      <c r="F26" s="386">
        <v>84301.01</v>
      </c>
      <c r="G26" s="386">
        <v>0.0</v>
      </c>
      <c r="H26" s="386">
        <v>0.0</v>
      </c>
      <c r="I26" s="386">
        <v>0.0</v>
      </c>
      <c r="J26" s="386">
        <v>0.0</v>
      </c>
      <c r="K26" s="386">
        <v>0.0</v>
      </c>
      <c r="L26" s="386">
        <v>0.0</v>
      </c>
      <c r="M26" s="386">
        <v>0.0</v>
      </c>
      <c r="N26" s="386">
        <v>0.0</v>
      </c>
      <c r="O26" s="386">
        <v>0.0</v>
      </c>
      <c r="P26" s="386">
        <v>0.0</v>
      </c>
      <c r="Q26" s="386">
        <v>0.0</v>
      </c>
      <c r="R26" s="386">
        <v>0.0</v>
      </c>
      <c r="S26" s="386">
        <v>0.0</v>
      </c>
      <c r="T26" s="386">
        <v>0.0</v>
      </c>
      <c r="U26" s="386">
        <v>0.0</v>
      </c>
      <c r="V26" s="386">
        <v>0.0</v>
      </c>
      <c r="W26" s="386">
        <v>0.0</v>
      </c>
      <c r="X26" s="386">
        <v>0.0</v>
      </c>
      <c r="Y26" s="386">
        <v>0.0</v>
      </c>
      <c r="Z26" s="386">
        <v>80969.84</v>
      </c>
      <c r="AA26" s="386">
        <v>0.0</v>
      </c>
      <c r="AB26" s="386">
        <v>0.0</v>
      </c>
      <c r="AC26" s="386">
        <v>0.0</v>
      </c>
    </row>
    <row r="27">
      <c r="A27" s="41" t="str">
        <f>VLOOKUP(C27,'YTD Income Statement'!$F:$F,1,false)</f>
        <v>1131-6431</v>
      </c>
      <c r="B27" s="41" t="s">
        <v>960</v>
      </c>
      <c r="C27" s="41" t="s">
        <v>71</v>
      </c>
      <c r="D27" s="386" t="s">
        <v>35</v>
      </c>
      <c r="E27" s="386">
        <v>9782.3</v>
      </c>
      <c r="F27" s="386">
        <v>0.0</v>
      </c>
      <c r="G27" s="386">
        <v>489.12</v>
      </c>
      <c r="H27" s="386">
        <v>489.12</v>
      </c>
      <c r="I27" s="386">
        <v>489.12</v>
      </c>
      <c r="J27" s="386">
        <v>489.12</v>
      </c>
      <c r="K27" s="386">
        <v>489.12</v>
      </c>
      <c r="L27" s="386">
        <v>489.12</v>
      </c>
      <c r="M27" s="386">
        <v>489.12</v>
      </c>
      <c r="N27" s="386">
        <v>489.12</v>
      </c>
      <c r="O27" s="386">
        <v>489.12</v>
      </c>
      <c r="P27" s="386">
        <v>489.12</v>
      </c>
      <c r="Q27" s="386">
        <v>489.12</v>
      </c>
      <c r="R27" s="386">
        <v>489.12</v>
      </c>
      <c r="S27" s="386">
        <v>489.12</v>
      </c>
      <c r="T27" s="386">
        <v>489.12</v>
      </c>
      <c r="U27" s="386">
        <v>489.12</v>
      </c>
      <c r="V27" s="386">
        <v>489.12</v>
      </c>
      <c r="W27" s="386">
        <v>489.12</v>
      </c>
      <c r="X27" s="386">
        <v>489.12</v>
      </c>
      <c r="Y27" s="386">
        <v>489.12</v>
      </c>
      <c r="Z27" s="386">
        <v>489.12</v>
      </c>
      <c r="AA27" s="386">
        <v>0.0</v>
      </c>
      <c r="AB27" s="386">
        <v>0.0</v>
      </c>
      <c r="AC27" s="386">
        <v>0.0</v>
      </c>
    </row>
    <row r="28">
      <c r="A28" s="41" t="str">
        <f>VLOOKUP(C28,'YTD Income Statement'!$F:$F,1,false)</f>
        <v>#N/A</v>
      </c>
      <c r="B28" s="41" t="s">
        <v>960</v>
      </c>
      <c r="C28" s="41" t="s">
        <v>72</v>
      </c>
      <c r="D28" s="386" t="s">
        <v>35</v>
      </c>
      <c r="E28" s="386">
        <v>30000.0</v>
      </c>
      <c r="F28" s="386">
        <v>0.0</v>
      </c>
      <c r="G28" s="386">
        <v>2500.0</v>
      </c>
      <c r="H28" s="386">
        <v>0.0</v>
      </c>
      <c r="I28" s="386">
        <v>2500.0</v>
      </c>
      <c r="J28" s="386">
        <v>0.0</v>
      </c>
      <c r="K28" s="386">
        <v>2500.0</v>
      </c>
      <c r="L28" s="386">
        <v>0.0</v>
      </c>
      <c r="M28" s="386">
        <v>2500.0</v>
      </c>
      <c r="N28" s="386">
        <v>0.0</v>
      </c>
      <c r="O28" s="386">
        <v>2500.0</v>
      </c>
      <c r="P28" s="386">
        <v>0.0</v>
      </c>
      <c r="Q28" s="386">
        <v>2500.0</v>
      </c>
      <c r="R28" s="386">
        <v>0.0</v>
      </c>
      <c r="S28" s="386">
        <v>2500.0</v>
      </c>
      <c r="T28" s="386">
        <v>0.0</v>
      </c>
      <c r="U28" s="386">
        <v>2500.0</v>
      </c>
      <c r="V28" s="386">
        <v>0.0</v>
      </c>
      <c r="W28" s="386">
        <v>2500.0</v>
      </c>
      <c r="X28" s="386">
        <v>0.0</v>
      </c>
      <c r="Y28" s="386">
        <v>2500.0</v>
      </c>
      <c r="Z28" s="386">
        <v>0.0</v>
      </c>
      <c r="AA28" s="386">
        <v>2500.0</v>
      </c>
      <c r="AB28" s="386">
        <v>0.0</v>
      </c>
      <c r="AC28" s="386">
        <v>2500.0</v>
      </c>
    </row>
    <row r="29">
      <c r="A29" s="41" t="str">
        <f>VLOOKUP(C29,'YTD Income Statement'!$F:$F,1,false)</f>
        <v>#N/A</v>
      </c>
      <c r="B29" s="41" t="s">
        <v>960</v>
      </c>
      <c r="C29" s="41" t="s">
        <v>73</v>
      </c>
      <c r="D29" s="386" t="s">
        <v>35</v>
      </c>
      <c r="E29" s="386">
        <v>4200.0</v>
      </c>
      <c r="F29" s="386">
        <v>0.0</v>
      </c>
      <c r="G29" s="386">
        <v>350.0</v>
      </c>
      <c r="H29" s="386">
        <v>0.0</v>
      </c>
      <c r="I29" s="386">
        <v>350.0</v>
      </c>
      <c r="J29" s="386">
        <v>0.0</v>
      </c>
      <c r="K29" s="386">
        <v>350.0</v>
      </c>
      <c r="L29" s="386">
        <v>0.0</v>
      </c>
      <c r="M29" s="386">
        <v>350.0</v>
      </c>
      <c r="N29" s="386">
        <v>0.0</v>
      </c>
      <c r="O29" s="386">
        <v>350.0</v>
      </c>
      <c r="P29" s="386">
        <v>0.0</v>
      </c>
      <c r="Q29" s="386">
        <v>350.0</v>
      </c>
      <c r="R29" s="386">
        <v>0.0</v>
      </c>
      <c r="S29" s="386">
        <v>350.0</v>
      </c>
      <c r="T29" s="386">
        <v>0.0</v>
      </c>
      <c r="U29" s="386">
        <v>350.0</v>
      </c>
      <c r="V29" s="386">
        <v>0.0</v>
      </c>
      <c r="W29" s="386">
        <v>350.0</v>
      </c>
      <c r="X29" s="386">
        <v>0.0</v>
      </c>
      <c r="Y29" s="386">
        <v>350.0</v>
      </c>
      <c r="Z29" s="386">
        <v>0.0</v>
      </c>
      <c r="AA29" s="386">
        <v>350.0</v>
      </c>
      <c r="AB29" s="386">
        <v>0.0</v>
      </c>
      <c r="AC29" s="386">
        <v>350.0</v>
      </c>
    </row>
    <row r="30">
      <c r="A30" s="41" t="str">
        <f>VLOOKUP(C30,'YTD Income Statement'!$F:$F,1,false)</f>
        <v>#N/A</v>
      </c>
      <c r="B30" s="41" t="s">
        <v>960</v>
      </c>
      <c r="C30" s="41" t="s">
        <v>74</v>
      </c>
      <c r="D30" s="386" t="s">
        <v>35</v>
      </c>
      <c r="E30" s="386">
        <v>1860.0</v>
      </c>
      <c r="F30" s="386">
        <v>0.0</v>
      </c>
      <c r="G30" s="386">
        <v>155.0</v>
      </c>
      <c r="H30" s="386">
        <v>0.0</v>
      </c>
      <c r="I30" s="386">
        <v>155.0</v>
      </c>
      <c r="J30" s="386">
        <v>0.0</v>
      </c>
      <c r="K30" s="386">
        <v>155.0</v>
      </c>
      <c r="L30" s="386">
        <v>0.0</v>
      </c>
      <c r="M30" s="386">
        <v>155.0</v>
      </c>
      <c r="N30" s="386">
        <v>0.0</v>
      </c>
      <c r="O30" s="386">
        <v>155.0</v>
      </c>
      <c r="P30" s="386">
        <v>0.0</v>
      </c>
      <c r="Q30" s="386">
        <v>155.0</v>
      </c>
      <c r="R30" s="386">
        <v>0.0</v>
      </c>
      <c r="S30" s="386">
        <v>155.0</v>
      </c>
      <c r="T30" s="386">
        <v>0.0</v>
      </c>
      <c r="U30" s="386">
        <v>155.0</v>
      </c>
      <c r="V30" s="386">
        <v>0.0</v>
      </c>
      <c r="W30" s="386">
        <v>155.0</v>
      </c>
      <c r="X30" s="386">
        <v>0.0</v>
      </c>
      <c r="Y30" s="386">
        <v>155.0</v>
      </c>
      <c r="Z30" s="386">
        <v>0.0</v>
      </c>
      <c r="AA30" s="386">
        <v>155.0</v>
      </c>
      <c r="AB30" s="386">
        <v>0.0</v>
      </c>
      <c r="AC30" s="386">
        <v>155.0</v>
      </c>
    </row>
    <row r="31">
      <c r="A31" s="41" t="str">
        <f>VLOOKUP(C31,'YTD Income Statement'!$F:$F,1,false)</f>
        <v>#N/A</v>
      </c>
      <c r="B31" s="41" t="s">
        <v>960</v>
      </c>
      <c r="C31" s="41" t="s">
        <v>75</v>
      </c>
      <c r="D31" s="386" t="s">
        <v>35</v>
      </c>
      <c r="E31" s="386">
        <v>435.0</v>
      </c>
      <c r="F31" s="386">
        <v>0.0</v>
      </c>
      <c r="G31" s="386">
        <v>36.25</v>
      </c>
      <c r="H31" s="386">
        <v>0.0</v>
      </c>
      <c r="I31" s="386">
        <v>36.25</v>
      </c>
      <c r="J31" s="386">
        <v>0.0</v>
      </c>
      <c r="K31" s="386">
        <v>36.25</v>
      </c>
      <c r="L31" s="386">
        <v>0.0</v>
      </c>
      <c r="M31" s="386">
        <v>36.25</v>
      </c>
      <c r="N31" s="386">
        <v>0.0</v>
      </c>
      <c r="O31" s="386">
        <v>36.25</v>
      </c>
      <c r="P31" s="386">
        <v>0.0</v>
      </c>
      <c r="Q31" s="386">
        <v>36.25</v>
      </c>
      <c r="R31" s="386">
        <v>0.0</v>
      </c>
      <c r="S31" s="386">
        <v>36.25</v>
      </c>
      <c r="T31" s="386">
        <v>0.0</v>
      </c>
      <c r="U31" s="386">
        <v>36.25</v>
      </c>
      <c r="V31" s="386">
        <v>0.0</v>
      </c>
      <c r="W31" s="386">
        <v>36.25</v>
      </c>
      <c r="X31" s="386">
        <v>0.0</v>
      </c>
      <c r="Y31" s="386">
        <v>36.25</v>
      </c>
      <c r="Z31" s="386">
        <v>0.0</v>
      </c>
      <c r="AA31" s="386">
        <v>36.25</v>
      </c>
      <c r="AB31" s="386">
        <v>0.0</v>
      </c>
      <c r="AC31" s="386">
        <v>36.25</v>
      </c>
    </row>
    <row r="32">
      <c r="A32" s="41" t="str">
        <f>VLOOKUP(C32,'YTD Income Statement'!$F:$F,1,false)</f>
        <v>#N/A</v>
      </c>
      <c r="B32" s="41" t="s">
        <v>960</v>
      </c>
      <c r="C32" s="41" t="s">
        <v>76</v>
      </c>
      <c r="D32" s="386" t="s">
        <v>35</v>
      </c>
      <c r="E32" s="386">
        <v>3375.0</v>
      </c>
      <c r="F32" s="386">
        <v>0.0</v>
      </c>
      <c r="G32" s="386">
        <v>281.25</v>
      </c>
      <c r="H32" s="386">
        <v>0.0</v>
      </c>
      <c r="I32" s="386">
        <v>281.25</v>
      </c>
      <c r="J32" s="386">
        <v>0.0</v>
      </c>
      <c r="K32" s="386">
        <v>281.25</v>
      </c>
      <c r="L32" s="386">
        <v>0.0</v>
      </c>
      <c r="M32" s="386">
        <v>281.25</v>
      </c>
      <c r="N32" s="386">
        <v>0.0</v>
      </c>
      <c r="O32" s="386">
        <v>281.25</v>
      </c>
      <c r="P32" s="386">
        <v>0.0</v>
      </c>
      <c r="Q32" s="386">
        <v>281.25</v>
      </c>
      <c r="R32" s="386">
        <v>0.0</v>
      </c>
      <c r="S32" s="386">
        <v>281.25</v>
      </c>
      <c r="T32" s="386">
        <v>0.0</v>
      </c>
      <c r="U32" s="386">
        <v>281.25</v>
      </c>
      <c r="V32" s="386">
        <v>0.0</v>
      </c>
      <c r="W32" s="386">
        <v>281.25</v>
      </c>
      <c r="X32" s="386">
        <v>0.0</v>
      </c>
      <c r="Y32" s="386">
        <v>281.25</v>
      </c>
      <c r="Z32" s="386">
        <v>0.0</v>
      </c>
      <c r="AA32" s="386">
        <v>281.25</v>
      </c>
      <c r="AB32" s="386">
        <v>0.0</v>
      </c>
      <c r="AC32" s="386">
        <v>281.25</v>
      </c>
    </row>
    <row r="33">
      <c r="A33" s="41" t="str">
        <f>VLOOKUP(C33,'YTD Income Statement'!$F:$F,1,false)</f>
        <v>1221-6319</v>
      </c>
      <c r="B33" s="41" t="s">
        <v>960</v>
      </c>
      <c r="C33" s="41" t="s">
        <v>77</v>
      </c>
      <c r="D33" s="386" t="s">
        <v>35</v>
      </c>
      <c r="E33" s="386">
        <v>272754.37</v>
      </c>
      <c r="F33" s="386">
        <v>0.0</v>
      </c>
      <c r="G33" s="386">
        <v>22729.53</v>
      </c>
      <c r="H33" s="386">
        <v>0.0</v>
      </c>
      <c r="I33" s="386">
        <v>22729.53</v>
      </c>
      <c r="J33" s="386">
        <v>0.0</v>
      </c>
      <c r="K33" s="386">
        <v>22729.53</v>
      </c>
      <c r="L33" s="386">
        <v>0.0</v>
      </c>
      <c r="M33" s="386">
        <v>22729.53</v>
      </c>
      <c r="N33" s="386">
        <v>0.0</v>
      </c>
      <c r="O33" s="386">
        <v>22729.53</v>
      </c>
      <c r="P33" s="386">
        <v>0.0</v>
      </c>
      <c r="Q33" s="386">
        <v>22729.53</v>
      </c>
      <c r="R33" s="386">
        <v>0.0</v>
      </c>
      <c r="S33" s="386">
        <v>22729.53</v>
      </c>
      <c r="T33" s="386">
        <v>0.0</v>
      </c>
      <c r="U33" s="386">
        <v>22729.53</v>
      </c>
      <c r="V33" s="386">
        <v>0.0</v>
      </c>
      <c r="W33" s="386">
        <v>22729.53</v>
      </c>
      <c r="X33" s="386">
        <v>0.0</v>
      </c>
      <c r="Y33" s="386">
        <v>22729.53</v>
      </c>
      <c r="Z33" s="386">
        <v>0.0</v>
      </c>
      <c r="AA33" s="386">
        <v>22729.53</v>
      </c>
      <c r="AB33" s="386">
        <v>0.0</v>
      </c>
      <c r="AC33" s="386">
        <v>22729.53</v>
      </c>
    </row>
    <row r="34">
      <c r="A34" s="41" t="str">
        <f>VLOOKUP(C34,'YTD Income Statement'!$F:$F,1,false)</f>
        <v>1221-6411</v>
      </c>
      <c r="B34" s="41" t="s">
        <v>960</v>
      </c>
      <c r="C34" s="41" t="s">
        <v>125</v>
      </c>
      <c r="D34" s="386" t="s">
        <v>35</v>
      </c>
      <c r="E34" s="386">
        <v>3401.0</v>
      </c>
      <c r="F34" s="386">
        <v>0.0</v>
      </c>
      <c r="G34" s="386">
        <v>0.0</v>
      </c>
      <c r="H34" s="386">
        <v>0.0</v>
      </c>
      <c r="I34" s="386">
        <v>0.0</v>
      </c>
      <c r="J34" s="386">
        <v>0.0</v>
      </c>
      <c r="K34" s="386">
        <v>0.0</v>
      </c>
      <c r="L34" s="386">
        <v>0.0</v>
      </c>
      <c r="M34" s="386">
        <v>0.0</v>
      </c>
      <c r="N34" s="386">
        <v>0.0</v>
      </c>
      <c r="O34" s="386">
        <v>0.0</v>
      </c>
      <c r="P34" s="386">
        <v>0.0</v>
      </c>
      <c r="Q34" s="386">
        <v>0.0</v>
      </c>
      <c r="R34" s="386">
        <v>0.0</v>
      </c>
      <c r="S34" s="386">
        <v>351.07</v>
      </c>
      <c r="T34" s="386">
        <v>0.0</v>
      </c>
      <c r="U34" s="386">
        <v>351.07</v>
      </c>
      <c r="V34" s="386">
        <v>0.0</v>
      </c>
      <c r="W34" s="386">
        <v>351.07</v>
      </c>
      <c r="X34" s="386">
        <v>0.0</v>
      </c>
      <c r="Y34" s="386">
        <v>351.07</v>
      </c>
      <c r="Z34" s="386">
        <v>0.0</v>
      </c>
      <c r="AA34" s="386">
        <v>1646.07</v>
      </c>
      <c r="AB34" s="386">
        <v>0.0</v>
      </c>
      <c r="AC34" s="386">
        <v>351.07</v>
      </c>
    </row>
    <row r="35">
      <c r="A35" s="41" t="str">
        <f>VLOOKUP(C35,'YTD Income Statement'!$F:$F,1,false)</f>
        <v>1411-6131</v>
      </c>
      <c r="B35" s="41" t="s">
        <v>960</v>
      </c>
      <c r="C35" s="41" t="s">
        <v>78</v>
      </c>
      <c r="D35" s="386" t="s">
        <v>35</v>
      </c>
      <c r="E35" s="386">
        <v>7200.0</v>
      </c>
      <c r="F35" s="386">
        <v>0.0</v>
      </c>
      <c r="G35" s="386">
        <v>600.0</v>
      </c>
      <c r="H35" s="386">
        <v>0.0</v>
      </c>
      <c r="I35" s="386">
        <v>600.0</v>
      </c>
      <c r="J35" s="386">
        <v>0.0</v>
      </c>
      <c r="K35" s="386">
        <v>600.0</v>
      </c>
      <c r="L35" s="386">
        <v>0.0</v>
      </c>
      <c r="M35" s="386">
        <v>600.0</v>
      </c>
      <c r="N35" s="386">
        <v>0.0</v>
      </c>
      <c r="O35" s="386">
        <v>600.0</v>
      </c>
      <c r="P35" s="386">
        <v>0.0</v>
      </c>
      <c r="Q35" s="386">
        <v>600.0</v>
      </c>
      <c r="R35" s="386">
        <v>0.0</v>
      </c>
      <c r="S35" s="386">
        <v>600.0</v>
      </c>
      <c r="T35" s="386">
        <v>0.0</v>
      </c>
      <c r="U35" s="386">
        <v>600.0</v>
      </c>
      <c r="V35" s="386">
        <v>0.0</v>
      </c>
      <c r="W35" s="386">
        <v>600.0</v>
      </c>
      <c r="X35" s="386">
        <v>0.0</v>
      </c>
      <c r="Y35" s="386">
        <v>600.0</v>
      </c>
      <c r="Z35" s="386">
        <v>0.0</v>
      </c>
      <c r="AA35" s="386">
        <v>600.0</v>
      </c>
      <c r="AB35" s="386">
        <v>0.0</v>
      </c>
      <c r="AC35" s="386">
        <v>600.0</v>
      </c>
    </row>
    <row r="36">
      <c r="A36" s="41" t="str">
        <f>VLOOKUP(C36,'YTD Income Statement'!$F:$F,1,false)</f>
        <v>#N/A</v>
      </c>
      <c r="B36" s="41" t="s">
        <v>960</v>
      </c>
      <c r="C36" s="41" t="s">
        <v>79</v>
      </c>
      <c r="D36" s="386" t="s">
        <v>35</v>
      </c>
      <c r="E36" s="386">
        <v>446.4</v>
      </c>
      <c r="F36" s="386">
        <v>0.0</v>
      </c>
      <c r="G36" s="386">
        <v>37.2</v>
      </c>
      <c r="H36" s="386">
        <v>0.0</v>
      </c>
      <c r="I36" s="386">
        <v>37.2</v>
      </c>
      <c r="J36" s="386">
        <v>0.0</v>
      </c>
      <c r="K36" s="386">
        <v>37.2</v>
      </c>
      <c r="L36" s="386">
        <v>0.0</v>
      </c>
      <c r="M36" s="386">
        <v>37.2</v>
      </c>
      <c r="N36" s="386">
        <v>0.0</v>
      </c>
      <c r="O36" s="386">
        <v>37.2</v>
      </c>
      <c r="P36" s="386">
        <v>0.0</v>
      </c>
      <c r="Q36" s="386">
        <v>37.2</v>
      </c>
      <c r="R36" s="386">
        <v>0.0</v>
      </c>
      <c r="S36" s="386">
        <v>37.2</v>
      </c>
      <c r="T36" s="386">
        <v>0.0</v>
      </c>
      <c r="U36" s="386">
        <v>37.2</v>
      </c>
      <c r="V36" s="386">
        <v>0.0</v>
      </c>
      <c r="W36" s="386">
        <v>37.2</v>
      </c>
      <c r="X36" s="386">
        <v>0.0</v>
      </c>
      <c r="Y36" s="386">
        <v>37.2</v>
      </c>
      <c r="Z36" s="386">
        <v>0.0</v>
      </c>
      <c r="AA36" s="386">
        <v>37.2</v>
      </c>
      <c r="AB36" s="386">
        <v>0.0</v>
      </c>
      <c r="AC36" s="386">
        <v>37.2</v>
      </c>
    </row>
    <row r="37">
      <c r="A37" s="41" t="str">
        <f>VLOOKUP(C37,'YTD Income Statement'!$F:$F,1,false)</f>
        <v>#N/A</v>
      </c>
      <c r="B37" s="41" t="s">
        <v>960</v>
      </c>
      <c r="C37" s="41" t="s">
        <v>80</v>
      </c>
      <c r="D37" s="386" t="s">
        <v>35</v>
      </c>
      <c r="E37" s="386">
        <v>104.4</v>
      </c>
      <c r="F37" s="386">
        <v>0.0</v>
      </c>
      <c r="G37" s="386">
        <v>8.7</v>
      </c>
      <c r="H37" s="386">
        <v>0.0</v>
      </c>
      <c r="I37" s="386">
        <v>8.7</v>
      </c>
      <c r="J37" s="386">
        <v>0.0</v>
      </c>
      <c r="K37" s="386">
        <v>8.7</v>
      </c>
      <c r="L37" s="386">
        <v>0.0</v>
      </c>
      <c r="M37" s="386">
        <v>8.7</v>
      </c>
      <c r="N37" s="386">
        <v>0.0</v>
      </c>
      <c r="O37" s="386">
        <v>8.7</v>
      </c>
      <c r="P37" s="386">
        <v>0.0</v>
      </c>
      <c r="Q37" s="386">
        <v>8.7</v>
      </c>
      <c r="R37" s="386">
        <v>0.0</v>
      </c>
      <c r="S37" s="386">
        <v>8.7</v>
      </c>
      <c r="T37" s="386">
        <v>0.0</v>
      </c>
      <c r="U37" s="386">
        <v>8.7</v>
      </c>
      <c r="V37" s="386">
        <v>0.0</v>
      </c>
      <c r="W37" s="386">
        <v>8.7</v>
      </c>
      <c r="X37" s="386">
        <v>0.0</v>
      </c>
      <c r="Y37" s="386">
        <v>8.7</v>
      </c>
      <c r="Z37" s="386">
        <v>0.0</v>
      </c>
      <c r="AA37" s="386">
        <v>8.7</v>
      </c>
      <c r="AB37" s="386">
        <v>0.0</v>
      </c>
      <c r="AC37" s="386">
        <v>8.7</v>
      </c>
    </row>
    <row r="38">
      <c r="A38" s="41" t="str">
        <f>VLOOKUP(C38,'YTD Income Statement'!$F:$F,1,false)</f>
        <v>#N/A</v>
      </c>
      <c r="B38" s="41" t="s">
        <v>960</v>
      </c>
      <c r="C38" s="41" t="s">
        <v>81</v>
      </c>
      <c r="D38" s="386" t="s">
        <v>35</v>
      </c>
      <c r="E38" s="386">
        <v>123791.94</v>
      </c>
      <c r="F38" s="386">
        <v>0.0</v>
      </c>
      <c r="G38" s="386">
        <v>4140.99</v>
      </c>
      <c r="H38" s="386">
        <v>36150.0</v>
      </c>
      <c r="I38" s="386">
        <v>4240.99</v>
      </c>
      <c r="J38" s="386">
        <v>100.0</v>
      </c>
      <c r="K38" s="386">
        <v>4240.99</v>
      </c>
      <c r="L38" s="386">
        <v>100.0</v>
      </c>
      <c r="M38" s="386">
        <v>4240.99</v>
      </c>
      <c r="N38" s="386">
        <v>100.0</v>
      </c>
      <c r="O38" s="386">
        <v>4240.99</v>
      </c>
      <c r="P38" s="386">
        <v>100.0</v>
      </c>
      <c r="Q38" s="386">
        <v>4240.99</v>
      </c>
      <c r="R38" s="386">
        <v>100.0</v>
      </c>
      <c r="S38" s="386">
        <v>40290.99</v>
      </c>
      <c r="T38" s="386">
        <v>100.0</v>
      </c>
      <c r="U38" s="386">
        <v>4240.99</v>
      </c>
      <c r="V38" s="386">
        <v>100.0</v>
      </c>
      <c r="W38" s="386">
        <v>4240.99</v>
      </c>
      <c r="X38" s="386">
        <v>100.0</v>
      </c>
      <c r="Y38" s="386">
        <v>4240.99</v>
      </c>
      <c r="Z38" s="386">
        <v>100.0</v>
      </c>
      <c r="AA38" s="386">
        <v>4240.99</v>
      </c>
      <c r="AB38" s="386">
        <v>0.0</v>
      </c>
      <c r="AC38" s="386">
        <v>4140.99</v>
      </c>
    </row>
    <row r="39">
      <c r="A39" s="41" t="str">
        <f>VLOOKUP(C39,'YTD Income Statement'!$F:$F,1,false)</f>
        <v>#N/A</v>
      </c>
      <c r="B39" s="41" t="s">
        <v>960</v>
      </c>
      <c r="C39" s="41" t="s">
        <v>82</v>
      </c>
      <c r="D39" s="386" t="s">
        <v>35</v>
      </c>
      <c r="E39" s="386">
        <v>9866.5</v>
      </c>
      <c r="F39" s="386">
        <v>0.0</v>
      </c>
      <c r="G39" s="386">
        <v>0.0</v>
      </c>
      <c r="H39" s="386">
        <v>4933.25</v>
      </c>
      <c r="I39" s="386">
        <v>0.0</v>
      </c>
      <c r="J39" s="386">
        <v>0.0</v>
      </c>
      <c r="K39" s="386">
        <v>0.0</v>
      </c>
      <c r="L39" s="386">
        <v>0.0</v>
      </c>
      <c r="M39" s="386">
        <v>0.0</v>
      </c>
      <c r="N39" s="386">
        <v>0.0</v>
      </c>
      <c r="O39" s="386">
        <v>0.0</v>
      </c>
      <c r="P39" s="386">
        <v>0.0</v>
      </c>
      <c r="Q39" s="386">
        <v>0.0</v>
      </c>
      <c r="R39" s="386">
        <v>0.0</v>
      </c>
      <c r="S39" s="386">
        <v>4933.25</v>
      </c>
      <c r="T39" s="386">
        <v>0.0</v>
      </c>
      <c r="U39" s="386">
        <v>0.0</v>
      </c>
      <c r="V39" s="386">
        <v>0.0</v>
      </c>
      <c r="W39" s="386">
        <v>0.0</v>
      </c>
      <c r="X39" s="386">
        <v>0.0</v>
      </c>
      <c r="Y39" s="386">
        <v>0.0</v>
      </c>
      <c r="Z39" s="386">
        <v>0.0</v>
      </c>
      <c r="AA39" s="386">
        <v>0.0</v>
      </c>
      <c r="AB39" s="386">
        <v>0.0</v>
      </c>
      <c r="AC39" s="386">
        <v>0.0</v>
      </c>
    </row>
    <row r="40">
      <c r="A40" s="41" t="str">
        <f>VLOOKUP(C40,'YTD Income Statement'!$F:$F,1,false)</f>
        <v>2134-6411</v>
      </c>
      <c r="B40" s="41" t="s">
        <v>961</v>
      </c>
      <c r="C40" s="41" t="s">
        <v>83</v>
      </c>
      <c r="D40" s="386" t="s">
        <v>35</v>
      </c>
      <c r="E40" s="386">
        <f>sum(F40:AC40)</f>
        <v>2582.74</v>
      </c>
      <c r="F40" s="386">
        <v>0.0</v>
      </c>
      <c r="G40" s="386">
        <v>0.0</v>
      </c>
      <c r="H40" s="386">
        <v>0.0</v>
      </c>
      <c r="I40" s="386">
        <v>0.0</v>
      </c>
      <c r="J40" s="386">
        <v>0.0</v>
      </c>
      <c r="K40" s="386">
        <v>0.0</v>
      </c>
      <c r="L40" s="386">
        <v>0.0</v>
      </c>
      <c r="M40" s="386">
        <v>0.0</v>
      </c>
      <c r="N40" s="386">
        <v>0.0</v>
      </c>
      <c r="O40" s="386">
        <v>0.0</v>
      </c>
      <c r="P40" s="386">
        <v>0.0</v>
      </c>
      <c r="Q40" s="386">
        <v>0.0</v>
      </c>
      <c r="R40" s="386">
        <v>0.0</v>
      </c>
      <c r="S40" s="386">
        <v>0.0</v>
      </c>
      <c r="T40" s="386">
        <v>0.0</v>
      </c>
      <c r="U40" s="386">
        <v>0.0</v>
      </c>
      <c r="V40" s="386">
        <v>0.0</v>
      </c>
      <c r="W40" s="386">
        <v>0.0</v>
      </c>
      <c r="X40" s="386">
        <v>0.0</v>
      </c>
      <c r="Y40" s="386">
        <v>2382.74</v>
      </c>
      <c r="Z40" s="386">
        <v>0.0</v>
      </c>
      <c r="AA40" s="386">
        <v>100.0</v>
      </c>
      <c r="AB40" s="386">
        <v>0.0</v>
      </c>
      <c r="AC40" s="386">
        <v>100.0</v>
      </c>
    </row>
    <row r="41">
      <c r="A41" s="41" t="str">
        <f>VLOOKUP(C41,'YTD Income Statement'!$F:$F,1,false)</f>
        <v>2142-6319</v>
      </c>
      <c r="B41" s="41" t="s">
        <v>960</v>
      </c>
      <c r="C41" s="41" t="s">
        <v>84</v>
      </c>
      <c r="D41" s="386" t="s">
        <v>35</v>
      </c>
      <c r="E41" s="386">
        <v>26950.97</v>
      </c>
      <c r="F41" s="386">
        <v>0.0</v>
      </c>
      <c r="G41" s="386">
        <v>0.0</v>
      </c>
      <c r="H41" s="386">
        <v>1591.7</v>
      </c>
      <c r="I41" s="386">
        <v>1334.7</v>
      </c>
      <c r="J41" s="386">
        <v>1334.7</v>
      </c>
      <c r="K41" s="386">
        <v>1334.7</v>
      </c>
      <c r="L41" s="386">
        <v>1334.7</v>
      </c>
      <c r="M41" s="386">
        <v>1334.7</v>
      </c>
      <c r="N41" s="386">
        <v>1334.7</v>
      </c>
      <c r="O41" s="386">
        <v>1334.7</v>
      </c>
      <c r="P41" s="386">
        <v>1334.7</v>
      </c>
      <c r="Q41" s="386">
        <v>1334.7</v>
      </c>
      <c r="R41" s="386">
        <v>0.0</v>
      </c>
      <c r="S41" s="386">
        <v>0.0</v>
      </c>
      <c r="T41" s="386">
        <v>1334.7</v>
      </c>
      <c r="U41" s="386">
        <v>1334.7</v>
      </c>
      <c r="V41" s="386">
        <v>1334.7</v>
      </c>
      <c r="W41" s="386">
        <v>1334.7</v>
      </c>
      <c r="X41" s="386">
        <v>1334.7</v>
      </c>
      <c r="Y41" s="386">
        <v>1334.7</v>
      </c>
      <c r="Z41" s="386">
        <v>1334.7</v>
      </c>
      <c r="AA41" s="386">
        <v>1334.7</v>
      </c>
      <c r="AB41" s="386">
        <v>1334.7</v>
      </c>
      <c r="AC41" s="386">
        <v>1334.7</v>
      </c>
    </row>
    <row r="42">
      <c r="A42" s="41" t="str">
        <f>VLOOKUP(C42,'YTD Income Statement'!$F:$F,1,false)</f>
        <v>2152-6319</v>
      </c>
      <c r="B42" s="41" t="s">
        <v>960</v>
      </c>
      <c r="C42" s="41" t="s">
        <v>85</v>
      </c>
      <c r="D42" s="386" t="s">
        <v>35</v>
      </c>
      <c r="E42" s="386">
        <v>21869.14</v>
      </c>
      <c r="F42" s="386">
        <v>0.0</v>
      </c>
      <c r="G42" s="386">
        <v>0.0</v>
      </c>
      <c r="H42" s="386">
        <v>1093.46</v>
      </c>
      <c r="I42" s="386">
        <v>1093.46</v>
      </c>
      <c r="J42" s="386">
        <v>1093.46</v>
      </c>
      <c r="K42" s="386">
        <v>1093.46</v>
      </c>
      <c r="L42" s="386">
        <v>1093.46</v>
      </c>
      <c r="M42" s="386">
        <v>1093.46</v>
      </c>
      <c r="N42" s="386">
        <v>1093.46</v>
      </c>
      <c r="O42" s="386">
        <v>1093.46</v>
      </c>
      <c r="P42" s="386">
        <v>1093.46</v>
      </c>
      <c r="Q42" s="386">
        <v>1093.46</v>
      </c>
      <c r="R42" s="386">
        <v>0.0</v>
      </c>
      <c r="S42" s="386">
        <v>0.0</v>
      </c>
      <c r="T42" s="386">
        <v>1093.46</v>
      </c>
      <c r="U42" s="386">
        <v>1093.46</v>
      </c>
      <c r="V42" s="386">
        <v>1093.46</v>
      </c>
      <c r="W42" s="386">
        <v>1093.46</v>
      </c>
      <c r="X42" s="386">
        <v>1093.46</v>
      </c>
      <c r="Y42" s="386">
        <v>1093.46</v>
      </c>
      <c r="Z42" s="386">
        <v>1093.46</v>
      </c>
      <c r="AA42" s="386">
        <v>1093.46</v>
      </c>
      <c r="AB42" s="386">
        <v>1093.46</v>
      </c>
      <c r="AC42" s="386">
        <v>1093.46</v>
      </c>
    </row>
    <row r="43">
      <c r="A43" s="41" t="str">
        <f>VLOOKUP(C43,'YTD Income Statement'!$F:$F,1,false)</f>
        <v>2162-6319</v>
      </c>
      <c r="B43" s="41" t="s">
        <v>960</v>
      </c>
      <c r="C43" s="41" t="s">
        <v>86</v>
      </c>
      <c r="D43" s="386" t="s">
        <v>35</v>
      </c>
      <c r="E43" s="386">
        <v>20270.34</v>
      </c>
      <c r="F43" s="386">
        <v>0.0</v>
      </c>
      <c r="G43" s="386">
        <v>0.0</v>
      </c>
      <c r="H43" s="386">
        <v>1013.52</v>
      </c>
      <c r="I43" s="386">
        <v>1013.52</v>
      </c>
      <c r="J43" s="386">
        <v>1013.52</v>
      </c>
      <c r="K43" s="386">
        <v>1013.52</v>
      </c>
      <c r="L43" s="386">
        <v>1013.52</v>
      </c>
      <c r="M43" s="386">
        <v>1013.52</v>
      </c>
      <c r="N43" s="386">
        <v>1013.52</v>
      </c>
      <c r="O43" s="386">
        <v>1013.52</v>
      </c>
      <c r="P43" s="386">
        <v>1013.52</v>
      </c>
      <c r="Q43" s="386">
        <v>1013.52</v>
      </c>
      <c r="R43" s="386">
        <v>0.0</v>
      </c>
      <c r="S43" s="386">
        <v>0.0</v>
      </c>
      <c r="T43" s="386">
        <v>1013.52</v>
      </c>
      <c r="U43" s="386">
        <v>1013.52</v>
      </c>
      <c r="V43" s="386">
        <v>1013.52</v>
      </c>
      <c r="W43" s="386">
        <v>1013.52</v>
      </c>
      <c r="X43" s="386">
        <v>1013.52</v>
      </c>
      <c r="Y43" s="386">
        <v>1013.52</v>
      </c>
      <c r="Z43" s="386">
        <v>1013.52</v>
      </c>
      <c r="AA43" s="386">
        <v>1013.52</v>
      </c>
      <c r="AB43" s="386">
        <v>1013.52</v>
      </c>
      <c r="AC43" s="386">
        <v>1013.52</v>
      </c>
    </row>
    <row r="44">
      <c r="A44" s="41" t="str">
        <f>VLOOKUP(C44,'YTD Income Statement'!$F:$F,1,false)</f>
        <v>2191-6319</v>
      </c>
      <c r="B44" s="41" t="s">
        <v>960</v>
      </c>
      <c r="C44" s="41" t="s">
        <v>87</v>
      </c>
      <c r="D44" s="386" t="s">
        <v>35</v>
      </c>
      <c r="E44" s="386">
        <v>161014.62</v>
      </c>
      <c r="F44" s="386">
        <v>0.0</v>
      </c>
      <c r="G44" s="386">
        <v>9176.23</v>
      </c>
      <c r="H44" s="386">
        <v>0.0</v>
      </c>
      <c r="I44" s="386">
        <v>9176.23</v>
      </c>
      <c r="J44" s="386">
        <v>0.0</v>
      </c>
      <c r="K44" s="386">
        <v>9176.23</v>
      </c>
      <c r="L44" s="386">
        <v>0.0</v>
      </c>
      <c r="M44" s="386">
        <v>9176.23</v>
      </c>
      <c r="N44" s="386">
        <v>0.0</v>
      </c>
      <c r="O44" s="386">
        <v>13197.95</v>
      </c>
      <c r="P44" s="386">
        <v>0.0</v>
      </c>
      <c r="Q44" s="386">
        <v>13197.95</v>
      </c>
      <c r="R44" s="386">
        <v>0.0</v>
      </c>
      <c r="S44" s="386">
        <v>12778.02</v>
      </c>
      <c r="T44" s="386">
        <v>0.0</v>
      </c>
      <c r="U44" s="386">
        <v>17028.02</v>
      </c>
      <c r="V44" s="386">
        <v>0.0</v>
      </c>
      <c r="W44" s="386">
        <v>17028.02</v>
      </c>
      <c r="X44" s="386">
        <v>0.0</v>
      </c>
      <c r="Y44" s="386">
        <v>17028.02</v>
      </c>
      <c r="Z44" s="386">
        <v>0.0</v>
      </c>
      <c r="AA44" s="386">
        <v>17028.02</v>
      </c>
      <c r="AB44" s="386">
        <v>0.0</v>
      </c>
      <c r="AC44" s="386">
        <v>17028.02</v>
      </c>
    </row>
    <row r="45">
      <c r="A45" s="41" t="str">
        <f>VLOOKUP(C45,'YTD Income Statement'!$F:$F,1,false)</f>
        <v>#N/A</v>
      </c>
      <c r="B45" s="41" t="s">
        <v>960</v>
      </c>
      <c r="C45" s="41" t="s">
        <v>88</v>
      </c>
      <c r="D45" s="386" t="s">
        <v>35</v>
      </c>
      <c r="E45" s="386">
        <v>330738.23</v>
      </c>
      <c r="F45" s="386">
        <v>0.0</v>
      </c>
      <c r="G45" s="386">
        <v>23490.69</v>
      </c>
      <c r="H45" s="386">
        <v>0.0</v>
      </c>
      <c r="I45" s="386">
        <v>23490.69</v>
      </c>
      <c r="J45" s="386">
        <v>0.0</v>
      </c>
      <c r="K45" s="386">
        <v>23490.69</v>
      </c>
      <c r="L45" s="386">
        <v>0.0</v>
      </c>
      <c r="M45" s="386">
        <v>23490.69</v>
      </c>
      <c r="N45" s="386">
        <v>0.0</v>
      </c>
      <c r="O45" s="386">
        <v>23490.69</v>
      </c>
      <c r="P45" s="386">
        <v>0.0</v>
      </c>
      <c r="Q45" s="386">
        <v>23490.69</v>
      </c>
      <c r="R45" s="386">
        <v>0.0</v>
      </c>
      <c r="S45" s="386">
        <v>23490.69</v>
      </c>
      <c r="T45" s="386">
        <v>0.0</v>
      </c>
      <c r="U45" s="386">
        <v>34728.19</v>
      </c>
      <c r="V45" s="386">
        <v>0.0</v>
      </c>
      <c r="W45" s="386">
        <v>34728.19</v>
      </c>
      <c r="X45" s="386">
        <v>0.0</v>
      </c>
      <c r="Y45" s="386">
        <v>34728.19</v>
      </c>
      <c r="Z45" s="386">
        <v>0.0</v>
      </c>
      <c r="AA45" s="386">
        <v>34728.19</v>
      </c>
      <c r="AB45" s="386">
        <v>0.0</v>
      </c>
      <c r="AC45" s="386">
        <v>27390.69</v>
      </c>
    </row>
    <row r="46">
      <c r="A46" s="41" t="str">
        <f>VLOOKUP(C46,'YTD Income Statement'!$F:$F,1,false)</f>
        <v>2213-6319</v>
      </c>
      <c r="B46" s="41" t="s">
        <v>962</v>
      </c>
      <c r="C46" s="41" t="s">
        <v>89</v>
      </c>
      <c r="D46" s="386" t="s">
        <v>35</v>
      </c>
      <c r="E46" s="386">
        <f t="shared" ref="E46:E47" si="3">sum(F46:AC46)</f>
        <v>66826.68</v>
      </c>
      <c r="F46" s="386">
        <v>0.0</v>
      </c>
      <c r="G46" s="386">
        <v>0.0</v>
      </c>
      <c r="H46" s="386">
        <v>0.0</v>
      </c>
      <c r="I46" s="386">
        <v>0.0</v>
      </c>
      <c r="J46" s="386">
        <v>3000.0</v>
      </c>
      <c r="K46" s="386">
        <v>0.0</v>
      </c>
      <c r="L46" s="386">
        <v>0.0</v>
      </c>
      <c r="M46" s="386">
        <v>0.0</v>
      </c>
      <c r="N46" s="386">
        <v>0.0</v>
      </c>
      <c r="O46" s="386">
        <v>0.0</v>
      </c>
      <c r="P46" s="386">
        <v>0.0</v>
      </c>
      <c r="Q46" s="386">
        <v>0.0</v>
      </c>
      <c r="R46" s="386">
        <v>0.0</v>
      </c>
      <c r="S46" s="386">
        <v>0.0</v>
      </c>
      <c r="T46" s="386">
        <v>0.0</v>
      </c>
      <c r="U46" s="386">
        <v>0.0</v>
      </c>
      <c r="V46" s="386">
        <v>0.0</v>
      </c>
      <c r="W46" s="386">
        <v>0.0</v>
      </c>
      <c r="X46" s="386">
        <v>0.0</v>
      </c>
      <c r="Y46" s="386">
        <v>59826.68</v>
      </c>
      <c r="Z46" s="386">
        <v>0.0</v>
      </c>
      <c r="AA46" s="386">
        <v>2000.0</v>
      </c>
      <c r="AB46" s="386">
        <v>0.0</v>
      </c>
      <c r="AC46" s="386">
        <v>2000.0</v>
      </c>
    </row>
    <row r="47">
      <c r="A47" s="41" t="str">
        <f>VLOOKUP(C47,'YTD Income Statement'!$F:$F,1,false)</f>
        <v>2213-6343</v>
      </c>
      <c r="B47" s="41" t="s">
        <v>962</v>
      </c>
      <c r="C47" s="41" t="s">
        <v>90</v>
      </c>
      <c r="D47" s="386" t="s">
        <v>35</v>
      </c>
      <c r="E47" s="386">
        <f t="shared" si="3"/>
        <v>1000</v>
      </c>
      <c r="F47" s="386">
        <v>0.0</v>
      </c>
      <c r="G47" s="386">
        <v>0.0</v>
      </c>
      <c r="H47" s="386">
        <v>0.0</v>
      </c>
      <c r="I47" s="386">
        <v>0.0</v>
      </c>
      <c r="J47" s="386">
        <v>0.0</v>
      </c>
      <c r="K47" s="386">
        <v>0.0</v>
      </c>
      <c r="L47" s="386">
        <v>0.0</v>
      </c>
      <c r="M47" s="386">
        <v>0.0</v>
      </c>
      <c r="N47" s="386">
        <v>0.0</v>
      </c>
      <c r="O47" s="386">
        <v>0.0</v>
      </c>
      <c r="P47" s="386">
        <v>0.0</v>
      </c>
      <c r="Q47" s="386">
        <v>0.0</v>
      </c>
      <c r="R47" s="386">
        <v>0.0</v>
      </c>
      <c r="S47" s="386">
        <v>0.0</v>
      </c>
      <c r="T47" s="386">
        <v>0.0</v>
      </c>
      <c r="U47" s="386">
        <v>0.0</v>
      </c>
      <c r="V47" s="386">
        <v>0.0</v>
      </c>
      <c r="W47" s="386">
        <v>0.0</v>
      </c>
      <c r="X47" s="386">
        <v>0.0</v>
      </c>
      <c r="Y47" s="386">
        <v>0.0</v>
      </c>
      <c r="Z47" s="386">
        <v>0.0</v>
      </c>
      <c r="AA47" s="386">
        <v>1000.0</v>
      </c>
      <c r="AB47" s="386">
        <v>0.0</v>
      </c>
      <c r="AC47" s="386">
        <v>0.0</v>
      </c>
    </row>
    <row r="48">
      <c r="B48" s="41" t="s">
        <v>960</v>
      </c>
      <c r="C48" s="41" t="s">
        <v>969</v>
      </c>
      <c r="D48" s="386" t="s">
        <v>35</v>
      </c>
      <c r="E48" s="386">
        <v>26720.0</v>
      </c>
      <c r="F48" s="386">
        <v>0.0</v>
      </c>
      <c r="G48" s="386">
        <v>0.0</v>
      </c>
      <c r="H48" s="386">
        <v>0.0</v>
      </c>
      <c r="I48" s="386">
        <v>0.0</v>
      </c>
      <c r="J48" s="386">
        <v>0.0</v>
      </c>
      <c r="K48" s="386">
        <v>0.0</v>
      </c>
      <c r="L48" s="386">
        <v>0.0</v>
      </c>
      <c r="M48" s="386">
        <v>0.0</v>
      </c>
      <c r="N48" s="386">
        <v>0.0</v>
      </c>
      <c r="O48" s="386">
        <v>0.0</v>
      </c>
      <c r="P48" s="386">
        <v>0.0</v>
      </c>
      <c r="Q48" s="386">
        <v>0.0</v>
      </c>
      <c r="R48" s="386">
        <v>0.0</v>
      </c>
      <c r="S48" s="386">
        <v>0.0</v>
      </c>
      <c r="T48" s="386">
        <v>0.0</v>
      </c>
      <c r="U48" s="386">
        <v>0.0</v>
      </c>
      <c r="V48" s="386">
        <v>0.0</v>
      </c>
      <c r="W48" s="386">
        <v>0.0</v>
      </c>
      <c r="X48" s="386">
        <v>0.0</v>
      </c>
      <c r="Y48" s="386">
        <v>0.0</v>
      </c>
      <c r="Z48" s="386">
        <v>0.0</v>
      </c>
      <c r="AA48" s="386">
        <v>26720.0</v>
      </c>
      <c r="AB48" s="386">
        <v>0.0</v>
      </c>
      <c r="AC48" s="386">
        <v>0.0</v>
      </c>
    </row>
    <row r="49">
      <c r="A49" s="41" t="str">
        <f>VLOOKUP(C49,'YTD Income Statement'!$F:$F,1,false)</f>
        <v>2311-6315</v>
      </c>
      <c r="B49" s="41" t="s">
        <v>963</v>
      </c>
      <c r="C49" s="41" t="s">
        <v>91</v>
      </c>
      <c r="D49" s="386" t="s">
        <v>35</v>
      </c>
      <c r="E49" s="386">
        <f>sum(F49:AC49)</f>
        <v>20600</v>
      </c>
      <c r="F49" s="386">
        <v>0.0</v>
      </c>
      <c r="G49" s="386">
        <v>0.0</v>
      </c>
      <c r="H49" s="386">
        <v>0.0</v>
      </c>
      <c r="I49" s="386">
        <v>0.0</v>
      </c>
      <c r="J49" s="386">
        <v>14375.0</v>
      </c>
      <c r="K49" s="386">
        <v>0.0</v>
      </c>
      <c r="L49" s="386">
        <v>0.0</v>
      </c>
      <c r="M49" s="386">
        <v>0.0</v>
      </c>
      <c r="N49" s="386">
        <v>0.0</v>
      </c>
      <c r="O49" s="386">
        <v>0.0</v>
      </c>
      <c r="P49" s="386">
        <v>0.0</v>
      </c>
      <c r="Q49" s="386">
        <v>0.0</v>
      </c>
      <c r="R49" s="386">
        <v>0.0</v>
      </c>
      <c r="S49" s="386">
        <v>0.0</v>
      </c>
      <c r="T49" s="386">
        <v>0.0</v>
      </c>
      <c r="U49" s="386">
        <v>0.0</v>
      </c>
      <c r="V49" s="386">
        <v>0.0</v>
      </c>
      <c r="W49" s="386">
        <v>0.0</v>
      </c>
      <c r="X49" s="386">
        <v>0.0</v>
      </c>
      <c r="Y49" s="309">
        <f>20600  -J49</f>
        <v>6225</v>
      </c>
      <c r="Z49" s="386">
        <v>0.0</v>
      </c>
      <c r="AA49" s="386">
        <v>0.0</v>
      </c>
      <c r="AB49" s="386">
        <v>0.0</v>
      </c>
      <c r="AC49" s="386">
        <v>0.0</v>
      </c>
    </row>
    <row r="50">
      <c r="A50" s="41" t="str">
        <f>VLOOKUP(C50,'YTD Income Statement'!$F:$F,1,false)</f>
        <v>2311-6317</v>
      </c>
      <c r="B50" s="41" t="s">
        <v>963</v>
      </c>
      <c r="C50" s="41" t="s">
        <v>92</v>
      </c>
      <c r="D50" s="386" t="s">
        <v>35</v>
      </c>
      <c r="E50" s="386">
        <v>12330.0</v>
      </c>
      <c r="F50" s="386">
        <v>416.67</v>
      </c>
      <c r="G50" s="386">
        <v>416.67</v>
      </c>
      <c r="H50" s="386">
        <v>416.67</v>
      </c>
      <c r="I50" s="386">
        <v>416.67</v>
      </c>
      <c r="J50" s="386">
        <v>416.67</v>
      </c>
      <c r="K50" s="386">
        <v>416.67</v>
      </c>
      <c r="L50" s="386">
        <v>416.67</v>
      </c>
      <c r="M50" s="386">
        <v>416.67</v>
      </c>
      <c r="N50" s="386">
        <v>416.67</v>
      </c>
      <c r="O50" s="386">
        <v>416.67</v>
      </c>
      <c r="P50" s="386">
        <v>416.67</v>
      </c>
      <c r="Q50" s="386">
        <v>416.67</v>
      </c>
      <c r="R50" s="386">
        <v>416.67</v>
      </c>
      <c r="S50" s="386">
        <v>416.67</v>
      </c>
      <c r="T50" s="386">
        <v>416.67</v>
      </c>
      <c r="U50" s="386">
        <v>416.67</v>
      </c>
      <c r="V50" s="386">
        <v>2746.67</v>
      </c>
      <c r="W50" s="386">
        <v>416.67</v>
      </c>
      <c r="X50" s="386">
        <v>416.67</v>
      </c>
      <c r="Y50" s="386">
        <v>416.67</v>
      </c>
      <c r="Z50" s="386">
        <v>416.67</v>
      </c>
      <c r="AA50" s="386">
        <v>416.67</v>
      </c>
      <c r="AB50" s="386">
        <v>416.67</v>
      </c>
      <c r="AC50" s="386">
        <v>416.67</v>
      </c>
    </row>
    <row r="51">
      <c r="A51" s="41" t="str">
        <f>VLOOKUP(C51,'YTD Income Statement'!$F:$F,1,false)</f>
        <v>2311-6352</v>
      </c>
      <c r="B51" s="41" t="s">
        <v>963</v>
      </c>
      <c r="C51" s="41" t="s">
        <v>93</v>
      </c>
      <c r="D51" s="386" t="s">
        <v>35</v>
      </c>
      <c r="E51" s="529">
        <v>22610.5</v>
      </c>
      <c r="F51" s="386">
        <v>0.0</v>
      </c>
      <c r="G51" s="386">
        <v>0.0</v>
      </c>
      <c r="H51" s="386">
        <v>0.0</v>
      </c>
      <c r="I51" s="386">
        <v>0.0</v>
      </c>
      <c r="J51" s="386">
        <v>0.0</v>
      </c>
      <c r="K51" s="386">
        <v>0.0</v>
      </c>
      <c r="L51" s="386">
        <v>0.0</v>
      </c>
      <c r="M51" s="386">
        <v>0.0</v>
      </c>
      <c r="N51" s="386">
        <v>0.0</v>
      </c>
      <c r="O51" s="386">
        <v>0.0</v>
      </c>
      <c r="P51" s="386">
        <v>0.0</v>
      </c>
      <c r="Q51" s="386">
        <v>0.0</v>
      </c>
      <c r="R51" s="386">
        <v>0.0</v>
      </c>
      <c r="S51" s="386">
        <v>0.0</v>
      </c>
      <c r="T51" s="386">
        <v>0.0</v>
      </c>
      <c r="U51" s="386">
        <v>0.0</v>
      </c>
      <c r="V51" s="386">
        <v>0.0</v>
      </c>
      <c r="W51" s="386">
        <v>0.0</v>
      </c>
      <c r="X51" s="386">
        <v>0.0</v>
      </c>
      <c r="Y51" s="71">
        <v>20359.5</v>
      </c>
      <c r="Z51" s="386">
        <v>0.0</v>
      </c>
      <c r="AA51" s="386">
        <v>0.0</v>
      </c>
      <c r="AB51" s="386">
        <v>0.0</v>
      </c>
      <c r="AC51" s="386">
        <f>E51-Y51</f>
        <v>2251</v>
      </c>
    </row>
    <row r="52">
      <c r="A52" s="41" t="str">
        <f>VLOOKUP(C52,'YTD Income Statement'!$F:$F,1,false)</f>
        <v>2321-6271</v>
      </c>
      <c r="B52" s="41" t="s">
        <v>963</v>
      </c>
      <c r="C52" s="41" t="s">
        <v>94</v>
      </c>
      <c r="D52" s="386" t="s">
        <v>35</v>
      </c>
      <c r="E52" s="386"/>
      <c r="F52" s="386">
        <v>0.0</v>
      </c>
      <c r="G52" s="386">
        <v>1666.67</v>
      </c>
      <c r="H52" s="386">
        <v>0.0</v>
      </c>
      <c r="I52" s="386">
        <v>1666.67</v>
      </c>
      <c r="J52" s="386">
        <v>0.0</v>
      </c>
      <c r="K52" s="386">
        <v>1666.67</v>
      </c>
      <c r="L52" s="386">
        <v>0.0</v>
      </c>
      <c r="M52" s="386">
        <v>1666.67</v>
      </c>
      <c r="N52" s="386">
        <v>0.0</v>
      </c>
      <c r="O52" s="386">
        <v>1666.67</v>
      </c>
      <c r="P52" s="386">
        <v>0.0</v>
      </c>
      <c r="Q52" s="386">
        <v>1666.67</v>
      </c>
      <c r="R52" s="386">
        <v>0.0</v>
      </c>
      <c r="S52" s="386">
        <v>1666.67</v>
      </c>
      <c r="T52" s="386">
        <v>0.0</v>
      </c>
      <c r="U52" s="386">
        <v>1666.67</v>
      </c>
      <c r="V52" s="386">
        <v>0.0</v>
      </c>
      <c r="W52" s="386">
        <v>1666.67</v>
      </c>
      <c r="X52" s="386">
        <v>0.0</v>
      </c>
      <c r="Y52" s="386">
        <v>1666.67</v>
      </c>
      <c r="Z52" s="386">
        <v>0.0</v>
      </c>
      <c r="AA52" s="386">
        <v>1666.67</v>
      </c>
      <c r="AB52" s="386">
        <v>0.0</v>
      </c>
      <c r="AC52" s="386">
        <v>1666.67</v>
      </c>
    </row>
    <row r="53">
      <c r="A53" s="41" t="str">
        <f>VLOOKUP(C53,'YTD Income Statement'!$F:$F,1,false)</f>
        <v>2321-6319</v>
      </c>
      <c r="B53" s="41" t="s">
        <v>963</v>
      </c>
      <c r="C53" s="41" t="s">
        <v>95</v>
      </c>
      <c r="D53" s="386" t="s">
        <v>35</v>
      </c>
      <c r="E53" s="386">
        <v>509765.94</v>
      </c>
      <c r="F53" s="386">
        <v>0.0</v>
      </c>
      <c r="G53" s="386">
        <v>40258.49</v>
      </c>
      <c r="H53" s="386">
        <v>0.0</v>
      </c>
      <c r="I53" s="386">
        <v>40258.49</v>
      </c>
      <c r="J53" s="386">
        <v>0.0</v>
      </c>
      <c r="K53" s="386">
        <v>40258.49</v>
      </c>
      <c r="L53" s="386">
        <v>0.0</v>
      </c>
      <c r="M53" s="386">
        <v>40258.49</v>
      </c>
      <c r="N53" s="386">
        <v>0.0</v>
      </c>
      <c r="O53" s="386">
        <v>40258.49</v>
      </c>
      <c r="P53" s="386">
        <v>0.0</v>
      </c>
      <c r="Q53" s="386">
        <v>40258.49</v>
      </c>
      <c r="R53" s="386">
        <v>0.0</v>
      </c>
      <c r="S53" s="386">
        <v>40258.49</v>
      </c>
      <c r="T53" s="386">
        <v>0.0</v>
      </c>
      <c r="U53" s="386">
        <v>45591.31</v>
      </c>
      <c r="V53" s="386">
        <v>0.0</v>
      </c>
      <c r="W53" s="386">
        <v>45591.31</v>
      </c>
      <c r="X53" s="386">
        <v>0.0</v>
      </c>
      <c r="Y53" s="386">
        <v>45591.31</v>
      </c>
      <c r="Z53" s="386">
        <v>0.0</v>
      </c>
      <c r="AA53" s="386">
        <v>45591.31</v>
      </c>
      <c r="AB53" s="386">
        <v>0.0</v>
      </c>
      <c r="AC53" s="386">
        <v>45591.31</v>
      </c>
    </row>
    <row r="54">
      <c r="A54" s="41" t="str">
        <f>VLOOKUP(C54,'YTD Income Statement'!$F:$F,1,false)</f>
        <v>2321-6371</v>
      </c>
      <c r="B54" s="41" t="s">
        <v>963</v>
      </c>
      <c r="C54" s="41" t="s">
        <v>96</v>
      </c>
      <c r="D54" s="386" t="s">
        <v>35</v>
      </c>
      <c r="E54" s="386">
        <v>4620.0</v>
      </c>
      <c r="F54" s="386">
        <v>0.0</v>
      </c>
      <c r="G54" s="386">
        <v>0.0</v>
      </c>
      <c r="H54" s="386">
        <v>0.0</v>
      </c>
      <c r="I54" s="386">
        <v>0.0</v>
      </c>
      <c r="J54" s="386">
        <v>0.0</v>
      </c>
      <c r="K54" s="386">
        <v>0.0</v>
      </c>
      <c r="L54" s="386">
        <v>0.0</v>
      </c>
      <c r="M54" s="386">
        <v>0.0</v>
      </c>
      <c r="N54" s="386">
        <v>0.0</v>
      </c>
      <c r="O54" s="386">
        <v>4620.0</v>
      </c>
      <c r="P54" s="386">
        <v>0.0</v>
      </c>
      <c r="Q54" s="386">
        <v>0.0</v>
      </c>
      <c r="R54" s="386">
        <v>0.0</v>
      </c>
      <c r="S54" s="386">
        <v>0.0</v>
      </c>
      <c r="T54" s="386">
        <v>0.0</v>
      </c>
      <c r="U54" s="386">
        <v>0.0</v>
      </c>
      <c r="V54" s="386">
        <v>0.0</v>
      </c>
      <c r="W54" s="386">
        <v>0.0</v>
      </c>
      <c r="X54" s="386">
        <v>0.0</v>
      </c>
      <c r="Y54" s="386">
        <v>0.0</v>
      </c>
      <c r="Z54" s="386">
        <v>0.0</v>
      </c>
      <c r="AA54" s="386">
        <v>0.0</v>
      </c>
      <c r="AB54" s="386">
        <v>0.0</v>
      </c>
      <c r="AC54" s="386">
        <v>0.0</v>
      </c>
    </row>
    <row r="55">
      <c r="A55" s="41" t="str">
        <f>VLOOKUP(C55,'YTD Income Statement'!$F:$F,1,false)</f>
        <v>2321-6411</v>
      </c>
      <c r="B55" s="41" t="s">
        <v>963</v>
      </c>
      <c r="C55" s="41" t="s">
        <v>97</v>
      </c>
      <c r="D55" s="386" t="s">
        <v>35</v>
      </c>
      <c r="E55" s="386">
        <v>13306.16</v>
      </c>
      <c r="F55" s="386">
        <v>0.0</v>
      </c>
      <c r="G55" s="386">
        <v>0.0</v>
      </c>
      <c r="H55" s="386">
        <v>2300.0</v>
      </c>
      <c r="I55" s="386">
        <v>0.0</v>
      </c>
      <c r="J55" s="386">
        <v>0.0</v>
      </c>
      <c r="K55" s="386">
        <v>0.0</v>
      </c>
      <c r="L55" s="386">
        <v>0.0</v>
      </c>
      <c r="M55" s="386">
        <v>0.0</v>
      </c>
      <c r="N55" s="386">
        <v>0.0</v>
      </c>
      <c r="O55" s="386">
        <v>0.0</v>
      </c>
      <c r="P55" s="386">
        <v>0.0</v>
      </c>
      <c r="Q55" s="386">
        <v>0.0</v>
      </c>
      <c r="R55" s="386">
        <v>0.0</v>
      </c>
      <c r="S55" s="386">
        <v>0.0</v>
      </c>
      <c r="T55" s="386">
        <v>0.0</v>
      </c>
      <c r="U55" s="386">
        <v>0.0</v>
      </c>
      <c r="V55" s="386">
        <v>0.0</v>
      </c>
      <c r="W55" s="386">
        <v>0.0</v>
      </c>
      <c r="X55" s="386">
        <v>0.0</v>
      </c>
      <c r="Y55" s="386">
        <v>0.0</v>
      </c>
      <c r="Z55" s="386">
        <v>6631.16</v>
      </c>
      <c r="AA55" s="386">
        <v>125.0</v>
      </c>
      <c r="AB55" s="386">
        <v>4125.0</v>
      </c>
      <c r="AC55" s="386">
        <v>125.0</v>
      </c>
    </row>
    <row r="56">
      <c r="A56" s="41" t="str">
        <f>VLOOKUP(C56,'YTD Income Statement'!$F:$F,1,false)</f>
        <v>2323-6411</v>
      </c>
      <c r="B56" s="41" t="s">
        <v>962</v>
      </c>
      <c r="C56" s="41" t="s">
        <v>98</v>
      </c>
      <c r="D56" s="386" t="s">
        <v>35</v>
      </c>
      <c r="E56" s="386">
        <v>5232.0</v>
      </c>
      <c r="F56" s="386">
        <v>0.0</v>
      </c>
      <c r="G56" s="386">
        <v>0.0</v>
      </c>
      <c r="H56" s="386">
        <v>533.5</v>
      </c>
      <c r="I56" s="386">
        <v>67.5</v>
      </c>
      <c r="J56" s="386">
        <v>67.5</v>
      </c>
      <c r="K56" s="386">
        <v>67.5</v>
      </c>
      <c r="L56" s="386">
        <v>67.5</v>
      </c>
      <c r="M56" s="386">
        <v>67.5</v>
      </c>
      <c r="N56" s="386">
        <v>537.5</v>
      </c>
      <c r="O56" s="386">
        <v>67.5</v>
      </c>
      <c r="P56" s="386">
        <v>1267.5</v>
      </c>
      <c r="Q56" s="386">
        <v>1037.5</v>
      </c>
      <c r="R56" s="386">
        <v>0.0</v>
      </c>
      <c r="S56" s="386">
        <v>0.0</v>
      </c>
      <c r="T56" s="386">
        <v>67.5</v>
      </c>
      <c r="U56" s="386">
        <v>537.5</v>
      </c>
      <c r="V56" s="386">
        <v>67.5</v>
      </c>
      <c r="W56" s="386">
        <v>67.5</v>
      </c>
      <c r="X56" s="386">
        <v>67.5</v>
      </c>
      <c r="Y56" s="386">
        <v>67.5</v>
      </c>
      <c r="Z56" s="386">
        <v>67.5</v>
      </c>
      <c r="AA56" s="386">
        <v>67.5</v>
      </c>
      <c r="AB56" s="386">
        <v>67.5</v>
      </c>
      <c r="AC56" s="386">
        <v>373.5</v>
      </c>
    </row>
    <row r="57">
      <c r="A57" s="41" t="str">
        <f>VLOOKUP(C57,'YTD Income Statement'!$F:$F,1,false)</f>
        <v>2331-6316</v>
      </c>
      <c r="B57" s="41" t="s">
        <v>964</v>
      </c>
      <c r="C57" s="41" t="s">
        <v>99</v>
      </c>
      <c r="D57" s="386" t="s">
        <v>35</v>
      </c>
      <c r="E57" s="386">
        <f>sum(F57:AC57)</f>
        <v>41236.96</v>
      </c>
      <c r="F57" s="386">
        <v>0.0</v>
      </c>
      <c r="G57" s="386">
        <v>0.0</v>
      </c>
      <c r="H57" s="386">
        <v>0.0</v>
      </c>
      <c r="I57" s="386">
        <v>0.0</v>
      </c>
      <c r="J57" s="386">
        <v>0.0</v>
      </c>
      <c r="K57" s="386">
        <v>0.0</v>
      </c>
      <c r="L57" s="386">
        <v>0.0</v>
      </c>
      <c r="M57" s="386">
        <v>0.0</v>
      </c>
      <c r="N57" s="386">
        <v>0.0</v>
      </c>
      <c r="O57" s="386">
        <v>0.0</v>
      </c>
      <c r="P57" s="386">
        <v>0.0</v>
      </c>
      <c r="Q57" s="386">
        <v>0.0</v>
      </c>
      <c r="R57" s="386">
        <v>0.0</v>
      </c>
      <c r="S57" s="386">
        <v>0.0</v>
      </c>
      <c r="T57" s="386">
        <v>0.0</v>
      </c>
      <c r="U57" s="386">
        <v>0.0</v>
      </c>
      <c r="V57" s="386">
        <v>0.0</v>
      </c>
      <c r="W57" s="386">
        <v>0.0</v>
      </c>
      <c r="X57" s="386">
        <v>0.0</v>
      </c>
      <c r="Y57" s="534">
        <v>34396.96</v>
      </c>
      <c r="Z57" s="386">
        <v>0.0</v>
      </c>
      <c r="AA57" s="534">
        <v>3420.0</v>
      </c>
      <c r="AB57" s="386">
        <v>0.0</v>
      </c>
      <c r="AC57" s="534">
        <v>3420.0</v>
      </c>
    </row>
    <row r="58">
      <c r="A58" s="41" t="str">
        <f>VLOOKUP(C58,'YTD Income Statement'!$F:$F,1,false)</f>
        <v>2331-6338</v>
      </c>
      <c r="B58" s="41" t="s">
        <v>964</v>
      </c>
      <c r="C58" s="41" t="s">
        <v>100</v>
      </c>
      <c r="D58" s="386" t="s">
        <v>35</v>
      </c>
      <c r="E58" s="386">
        <v>3186.0</v>
      </c>
      <c r="F58" s="386">
        <v>0.0</v>
      </c>
      <c r="G58" s="386">
        <v>265.5</v>
      </c>
      <c r="H58" s="386">
        <v>0.0</v>
      </c>
      <c r="I58" s="386">
        <v>265.5</v>
      </c>
      <c r="J58" s="386">
        <v>0.0</v>
      </c>
      <c r="K58" s="386">
        <v>265.5</v>
      </c>
      <c r="L58" s="386">
        <v>0.0</v>
      </c>
      <c r="M58" s="386">
        <v>265.5</v>
      </c>
      <c r="N58" s="386">
        <v>0.0</v>
      </c>
      <c r="O58" s="386">
        <v>265.5</v>
      </c>
      <c r="P58" s="386">
        <v>0.0</v>
      </c>
      <c r="Q58" s="386">
        <v>265.5</v>
      </c>
      <c r="R58" s="386">
        <v>0.0</v>
      </c>
      <c r="S58" s="386">
        <v>265.5</v>
      </c>
      <c r="T58" s="386">
        <v>0.0</v>
      </c>
      <c r="U58" s="386">
        <v>265.5</v>
      </c>
      <c r="V58" s="386">
        <v>0.0</v>
      </c>
      <c r="W58" s="386">
        <v>265.5</v>
      </c>
      <c r="X58" s="386">
        <v>0.0</v>
      </c>
      <c r="Y58" s="386">
        <v>265.5</v>
      </c>
      <c r="Z58" s="386">
        <v>0.0</v>
      </c>
      <c r="AA58" s="386">
        <v>265.5</v>
      </c>
      <c r="AB58" s="386">
        <v>0.0</v>
      </c>
      <c r="AC58" s="386">
        <v>265.5</v>
      </c>
    </row>
    <row r="59">
      <c r="A59" s="41" t="str">
        <f>VLOOKUP(C59,'YTD Income Statement'!$F:$F,1,false)</f>
        <v>#N/A</v>
      </c>
      <c r="B59" s="41" t="s">
        <v>963</v>
      </c>
      <c r="C59" s="41" t="s">
        <v>101</v>
      </c>
      <c r="D59" s="386" t="s">
        <v>35</v>
      </c>
      <c r="E59" s="386">
        <v>2032.8</v>
      </c>
      <c r="F59" s="386">
        <v>0.0</v>
      </c>
      <c r="G59" s="386">
        <v>169.4</v>
      </c>
      <c r="H59" s="386">
        <v>0.0</v>
      </c>
      <c r="I59" s="386">
        <v>169.4</v>
      </c>
      <c r="J59" s="386">
        <v>0.0</v>
      </c>
      <c r="K59" s="386">
        <v>169.4</v>
      </c>
      <c r="L59" s="386">
        <v>0.0</v>
      </c>
      <c r="M59" s="386">
        <v>169.4</v>
      </c>
      <c r="N59" s="386">
        <v>0.0</v>
      </c>
      <c r="O59" s="386">
        <v>169.4</v>
      </c>
      <c r="P59" s="386">
        <v>0.0</v>
      </c>
      <c r="Q59" s="386">
        <v>169.4</v>
      </c>
      <c r="R59" s="386">
        <v>0.0</v>
      </c>
      <c r="S59" s="386">
        <v>169.4</v>
      </c>
      <c r="T59" s="386">
        <v>0.0</v>
      </c>
      <c r="U59" s="386">
        <v>169.4</v>
      </c>
      <c r="V59" s="386">
        <v>0.0</v>
      </c>
      <c r="W59" s="386">
        <v>169.4</v>
      </c>
      <c r="X59" s="386">
        <v>0.0</v>
      </c>
      <c r="Y59" s="386">
        <v>169.4</v>
      </c>
      <c r="Z59" s="386">
        <v>0.0</v>
      </c>
      <c r="AA59" s="386">
        <v>169.4</v>
      </c>
      <c r="AB59" s="386">
        <v>0.0</v>
      </c>
      <c r="AC59" s="386">
        <v>169.4</v>
      </c>
    </row>
    <row r="60">
      <c r="A60" s="41" t="str">
        <f>VLOOKUP(C60,'YTD Income Statement'!$F:$F,1,false)</f>
        <v>2331-6412</v>
      </c>
      <c r="B60" s="41" t="s">
        <v>963</v>
      </c>
      <c r="C60" s="41" t="s">
        <v>102</v>
      </c>
      <c r="D60" s="386" t="s">
        <v>35</v>
      </c>
      <c r="E60" s="386">
        <v>6758.02</v>
      </c>
      <c r="F60" s="386">
        <v>0.0</v>
      </c>
      <c r="G60" s="386">
        <v>0.0</v>
      </c>
      <c r="H60" s="386">
        <v>0.0</v>
      </c>
      <c r="I60" s="386">
        <v>0.0</v>
      </c>
      <c r="J60" s="386">
        <v>0.0</v>
      </c>
      <c r="K60" s="386">
        <v>0.0</v>
      </c>
      <c r="L60" s="386">
        <v>0.0</v>
      </c>
      <c r="M60" s="386">
        <v>0.0</v>
      </c>
      <c r="N60" s="386">
        <v>0.0</v>
      </c>
      <c r="O60" s="386">
        <v>0.0</v>
      </c>
      <c r="P60" s="386">
        <v>0.0</v>
      </c>
      <c r="Q60" s="386">
        <v>0.0</v>
      </c>
      <c r="R60" s="386">
        <v>0.0</v>
      </c>
      <c r="S60" s="386">
        <v>0.0</v>
      </c>
      <c r="T60" s="386">
        <v>0.0</v>
      </c>
      <c r="U60" s="386">
        <v>0.0</v>
      </c>
      <c r="V60" s="386">
        <v>0.0</v>
      </c>
      <c r="W60" s="386">
        <v>0.0</v>
      </c>
      <c r="X60" s="386">
        <v>0.0</v>
      </c>
      <c r="Y60" s="386">
        <v>6758.02</v>
      </c>
      <c r="Z60" s="386">
        <v>0.0</v>
      </c>
      <c r="AA60" s="386">
        <v>0.0</v>
      </c>
      <c r="AB60" s="386">
        <v>0.0</v>
      </c>
      <c r="AC60" s="386">
        <v>0.0</v>
      </c>
    </row>
    <row r="61">
      <c r="A61" s="41" t="str">
        <f>VLOOKUP(C61,'YTD Income Statement'!$F:$F,1,false)</f>
        <v>2511-6319</v>
      </c>
      <c r="B61" s="41" t="s">
        <v>963</v>
      </c>
      <c r="C61" s="41" t="s">
        <v>103</v>
      </c>
      <c r="D61" s="386" t="s">
        <v>35</v>
      </c>
      <c r="E61" s="386">
        <v>120750.04</v>
      </c>
      <c r="F61" s="386">
        <v>0.0</v>
      </c>
      <c r="G61" s="386">
        <v>23989.3</v>
      </c>
      <c r="H61" s="386">
        <v>23113.4</v>
      </c>
      <c r="I61" s="386">
        <v>6039.3</v>
      </c>
      <c r="J61" s="386">
        <v>5250.0</v>
      </c>
      <c r="K61" s="386">
        <v>6039.3</v>
      </c>
      <c r="L61" s="386">
        <v>0.0</v>
      </c>
      <c r="M61" s="386">
        <v>6039.3</v>
      </c>
      <c r="N61" s="386">
        <v>0.0</v>
      </c>
      <c r="O61" s="386">
        <v>6039.3</v>
      </c>
      <c r="P61" s="386">
        <v>0.0</v>
      </c>
      <c r="Q61" s="386">
        <v>6039.3</v>
      </c>
      <c r="R61" s="386">
        <v>0.0</v>
      </c>
      <c r="S61" s="386">
        <v>6039.3</v>
      </c>
      <c r="T61" s="386">
        <v>0.0</v>
      </c>
      <c r="U61" s="386">
        <v>6039.3</v>
      </c>
      <c r="V61" s="386">
        <v>0.0</v>
      </c>
      <c r="W61" s="386">
        <v>7039.3</v>
      </c>
      <c r="X61" s="386">
        <v>0.0</v>
      </c>
      <c r="Y61" s="386">
        <v>6758.02</v>
      </c>
      <c r="Z61" s="386">
        <v>0.0</v>
      </c>
      <c r="AA61" s="386">
        <v>0.0</v>
      </c>
      <c r="AB61" s="386">
        <v>0.0</v>
      </c>
      <c r="AC61" s="386">
        <v>0.0</v>
      </c>
    </row>
    <row r="62">
      <c r="A62" s="41" t="str">
        <f>VLOOKUP(C62,'YTD Income Statement'!$F:$F,1,false)</f>
        <v>#N/A</v>
      </c>
      <c r="B62" s="41" t="s">
        <v>963</v>
      </c>
      <c r="C62" s="41" t="s">
        <v>104</v>
      </c>
      <c r="D62" s="386" t="s">
        <v>35</v>
      </c>
      <c r="E62" s="386">
        <v>1000.0</v>
      </c>
      <c r="F62" s="386">
        <v>41.67</v>
      </c>
      <c r="G62" s="386">
        <v>41.67</v>
      </c>
      <c r="H62" s="386">
        <v>41.67</v>
      </c>
      <c r="I62" s="386">
        <v>41.67</v>
      </c>
      <c r="J62" s="386">
        <v>41.67</v>
      </c>
      <c r="K62" s="386">
        <v>41.67</v>
      </c>
      <c r="L62" s="386">
        <v>41.67</v>
      </c>
      <c r="M62" s="386">
        <v>41.67</v>
      </c>
      <c r="N62" s="386">
        <v>41.67</v>
      </c>
      <c r="O62" s="386">
        <v>41.67</v>
      </c>
      <c r="P62" s="386">
        <v>41.67</v>
      </c>
      <c r="Q62" s="386">
        <v>41.67</v>
      </c>
      <c r="R62" s="386">
        <v>41.67</v>
      </c>
      <c r="S62" s="386">
        <v>41.67</v>
      </c>
      <c r="T62" s="386">
        <v>41.67</v>
      </c>
      <c r="U62" s="386">
        <v>41.67</v>
      </c>
      <c r="V62" s="386">
        <v>41.67</v>
      </c>
      <c r="W62" s="386">
        <v>41.67</v>
      </c>
      <c r="X62" s="386">
        <v>41.67</v>
      </c>
      <c r="Y62" s="386">
        <v>41.67</v>
      </c>
      <c r="Z62" s="386">
        <v>41.67</v>
      </c>
      <c r="AA62" s="386">
        <v>41.67</v>
      </c>
      <c r="AB62" s="386">
        <v>41.67</v>
      </c>
      <c r="AC62" s="386">
        <v>41.67</v>
      </c>
    </row>
    <row r="63">
      <c r="A63" s="41" t="str">
        <f>VLOOKUP(C63,'YTD Income Statement'!$F:$F,1,false)</f>
        <v>2542-6332</v>
      </c>
      <c r="B63" s="41" t="s">
        <v>964</v>
      </c>
      <c r="C63" s="41" t="s">
        <v>105</v>
      </c>
      <c r="D63" s="386" t="s">
        <v>35</v>
      </c>
      <c r="E63" s="386">
        <f t="shared" ref="E63:E64" si="4">SUM(F63:AC63)</f>
        <v>46714.85</v>
      </c>
      <c r="F63" s="386">
        <v>0.0</v>
      </c>
      <c r="G63" s="386">
        <v>0.0</v>
      </c>
      <c r="H63" s="386">
        <v>0.0</v>
      </c>
      <c r="I63" s="386">
        <v>0.0</v>
      </c>
      <c r="J63" s="386">
        <v>0.0</v>
      </c>
      <c r="K63" s="386">
        <v>0.0</v>
      </c>
      <c r="L63" s="386">
        <v>0.0</v>
      </c>
      <c r="M63" s="386">
        <v>0.0</v>
      </c>
      <c r="N63" s="386">
        <v>0.0</v>
      </c>
      <c r="O63" s="386">
        <v>0.0</v>
      </c>
      <c r="P63" s="386">
        <v>0.0</v>
      </c>
      <c r="Q63" s="386">
        <v>0.0</v>
      </c>
      <c r="R63" s="386">
        <v>0.0</v>
      </c>
      <c r="S63" s="386">
        <v>0.0</v>
      </c>
      <c r="T63" s="386">
        <v>0.0</v>
      </c>
      <c r="U63" s="386">
        <v>0.0</v>
      </c>
      <c r="V63" s="386">
        <v>0.0</v>
      </c>
      <c r="W63" s="386">
        <v>0.0</v>
      </c>
      <c r="X63" s="386">
        <v>0.0</v>
      </c>
      <c r="Y63" s="309">
        <v>41714.85</v>
      </c>
      <c r="Z63" s="386">
        <v>0.0</v>
      </c>
      <c r="AA63" s="386">
        <v>2500.0</v>
      </c>
      <c r="AB63" s="386">
        <v>0.0</v>
      </c>
      <c r="AC63" s="386">
        <v>2500.0</v>
      </c>
    </row>
    <row r="64">
      <c r="A64" s="41" t="str">
        <f>VLOOKUP(C64,'YTD Income Statement'!$F:$F,1,false)</f>
        <v>2542-6333</v>
      </c>
      <c r="B64" s="41" t="s">
        <v>965</v>
      </c>
      <c r="C64" s="41" t="s">
        <v>106</v>
      </c>
      <c r="D64" s="386" t="s">
        <v>35</v>
      </c>
      <c r="E64" s="386">
        <f t="shared" si="4"/>
        <v>885508.55</v>
      </c>
      <c r="F64" s="386">
        <v>0.0</v>
      </c>
      <c r="G64" s="386">
        <v>0.0</v>
      </c>
      <c r="H64" s="386">
        <v>0.0</v>
      </c>
      <c r="I64" s="386">
        <v>0.0</v>
      </c>
      <c r="J64" s="386">
        <v>0.0</v>
      </c>
      <c r="K64" s="386">
        <v>0.0</v>
      </c>
      <c r="L64" s="386">
        <v>0.0</v>
      </c>
      <c r="M64" s="386">
        <v>0.0</v>
      </c>
      <c r="N64" s="386">
        <v>0.0</v>
      </c>
      <c r="O64" s="386">
        <v>0.0</v>
      </c>
      <c r="P64" s="386">
        <v>0.0</v>
      </c>
      <c r="Q64" s="386">
        <v>0.0</v>
      </c>
      <c r="R64" s="386">
        <v>0.0</v>
      </c>
      <c r="S64" s="386">
        <v>0.0</v>
      </c>
      <c r="T64" s="386">
        <v>0.0</v>
      </c>
      <c r="U64" s="386">
        <v>0.0</v>
      </c>
      <c r="V64" s="386">
        <v>0.0</v>
      </c>
      <c r="W64" s="386">
        <v>0.0</v>
      </c>
      <c r="X64" s="386">
        <v>0.0</v>
      </c>
      <c r="Y64" s="71">
        <v>748154.15</v>
      </c>
      <c r="Z64" s="386">
        <v>0.0</v>
      </c>
      <c r="AA64" s="534">
        <v>68677.2</v>
      </c>
      <c r="AB64" s="386">
        <v>0.0</v>
      </c>
      <c r="AC64" s="534">
        <v>68677.2</v>
      </c>
    </row>
    <row r="65">
      <c r="A65" s="41" t="str">
        <f>VLOOKUP(C65,'YTD Income Statement'!$F:$F,1,false)</f>
        <v>2542-6411</v>
      </c>
      <c r="B65" s="41" t="s">
        <v>964</v>
      </c>
      <c r="C65" s="41" t="s">
        <v>107</v>
      </c>
      <c r="D65" s="386" t="s">
        <v>35</v>
      </c>
      <c r="E65" s="386">
        <f>sum(F65:AC65)</f>
        <v>228291.13</v>
      </c>
      <c r="F65" s="386">
        <v>178291.13</v>
      </c>
      <c r="G65" s="386">
        <v>0.0</v>
      </c>
      <c r="H65" s="386">
        <v>0.0</v>
      </c>
      <c r="I65" s="386">
        <v>0.0</v>
      </c>
      <c r="J65" s="386">
        <v>0.0</v>
      </c>
      <c r="K65" s="386">
        <v>0.0</v>
      </c>
      <c r="L65" s="386">
        <v>0.0</v>
      </c>
      <c r="M65" s="386">
        <v>0.0</v>
      </c>
      <c r="N65" s="386">
        <v>0.0</v>
      </c>
      <c r="O65" s="386">
        <v>0.0</v>
      </c>
      <c r="P65" s="386">
        <v>0.0</v>
      </c>
      <c r="Q65" s="386">
        <v>0.0</v>
      </c>
      <c r="R65" s="386">
        <v>0.0</v>
      </c>
      <c r="S65" s="386">
        <v>0.0</v>
      </c>
      <c r="T65" s="386">
        <v>0.0</v>
      </c>
      <c r="U65" s="386">
        <v>0.0</v>
      </c>
      <c r="V65" s="386">
        <v>0.0</v>
      </c>
      <c r="W65" s="386">
        <v>0.0</v>
      </c>
      <c r="X65" s="386">
        <v>0.0</v>
      </c>
      <c r="Y65" s="386">
        <v>0.0</v>
      </c>
      <c r="Z65" s="386">
        <v>0.0</v>
      </c>
      <c r="AA65" s="386">
        <v>0.0</v>
      </c>
      <c r="AB65" s="386">
        <f>125000*0.4</f>
        <v>50000</v>
      </c>
      <c r="AC65" s="386">
        <v>0.0</v>
      </c>
    </row>
    <row r="66">
      <c r="A66" s="41" t="str">
        <f>VLOOKUP(C66,'YTD Income Statement'!$F:$F,1,false)</f>
        <v>#N/A</v>
      </c>
      <c r="B66" s="41" t="s">
        <v>964</v>
      </c>
      <c r="C66" s="41" t="s">
        <v>108</v>
      </c>
      <c r="D66" s="386" t="s">
        <v>35</v>
      </c>
      <c r="E66" s="386">
        <v>40100.0</v>
      </c>
      <c r="F66" s="386">
        <v>0.0</v>
      </c>
      <c r="G66" s="386">
        <v>0.0</v>
      </c>
      <c r="H66" s="386">
        <v>100.0</v>
      </c>
      <c r="I66" s="386">
        <v>0.0</v>
      </c>
      <c r="J66" s="386">
        <v>0.0</v>
      </c>
      <c r="K66" s="386">
        <v>0.0</v>
      </c>
      <c r="L66" s="386">
        <v>0.0</v>
      </c>
      <c r="M66" s="386">
        <v>0.0</v>
      </c>
      <c r="N66" s="386">
        <v>0.0</v>
      </c>
      <c r="O66" s="386">
        <v>0.0</v>
      </c>
      <c r="P66" s="386">
        <v>0.0</v>
      </c>
      <c r="Q66" s="386">
        <v>0.0</v>
      </c>
      <c r="R66" s="386">
        <v>0.0</v>
      </c>
      <c r="S66" s="386">
        <v>0.0</v>
      </c>
      <c r="T66" s="386">
        <v>0.0</v>
      </c>
      <c r="U66" s="386">
        <v>0.0</v>
      </c>
      <c r="V66" s="386">
        <v>20000.0</v>
      </c>
      <c r="W66" s="386">
        <v>0.0</v>
      </c>
      <c r="X66" s="386">
        <v>0.0</v>
      </c>
      <c r="Y66" s="386">
        <v>0.0</v>
      </c>
      <c r="Z66" s="386">
        <v>20000.0</v>
      </c>
      <c r="AA66" s="386">
        <v>0.0</v>
      </c>
      <c r="AB66" s="386">
        <v>0.0</v>
      </c>
      <c r="AC66" s="386">
        <v>0.0</v>
      </c>
    </row>
    <row r="67">
      <c r="A67" s="41" t="str">
        <f>VLOOKUP(C67,'YTD Income Statement'!$F:$F,1,false)</f>
        <v>#N/A</v>
      </c>
      <c r="B67" s="41" t="s">
        <v>964</v>
      </c>
      <c r="C67" s="41" t="s">
        <v>109</v>
      </c>
      <c r="D67" s="386" t="s">
        <v>35</v>
      </c>
      <c r="E67" s="386">
        <f>SUM(F67:AC67)</f>
        <v>2781</v>
      </c>
      <c r="F67" s="386">
        <v>0.0</v>
      </c>
      <c r="G67" s="386">
        <v>0.0</v>
      </c>
      <c r="H67" s="386">
        <v>0.0</v>
      </c>
      <c r="I67" s="386">
        <v>0.0</v>
      </c>
      <c r="J67" s="386">
        <v>0.0</v>
      </c>
      <c r="K67" s="386">
        <v>0.0</v>
      </c>
      <c r="L67" s="386">
        <v>0.0</v>
      </c>
      <c r="M67" s="386">
        <v>0.0</v>
      </c>
      <c r="N67" s="386">
        <v>0.0</v>
      </c>
      <c r="O67" s="386">
        <v>0.0</v>
      </c>
      <c r="P67" s="386">
        <v>0.0</v>
      </c>
      <c r="Q67" s="386">
        <v>0.0</v>
      </c>
      <c r="R67" s="386">
        <v>0.0</v>
      </c>
      <c r="S67" s="386">
        <v>0.0</v>
      </c>
      <c r="T67" s="386">
        <v>0.0</v>
      </c>
      <c r="U67" s="386">
        <v>0.0</v>
      </c>
      <c r="V67" s="386">
        <v>0.0</v>
      </c>
      <c r="W67" s="386">
        <v>0.0</v>
      </c>
      <c r="X67" s="386">
        <v>0.0</v>
      </c>
      <c r="Y67" s="309">
        <v>2781.0</v>
      </c>
      <c r="Z67" s="386">
        <v>0.0</v>
      </c>
      <c r="AA67" s="386">
        <v>0.0</v>
      </c>
      <c r="AB67" s="386">
        <v>0.0</v>
      </c>
      <c r="AC67" s="386">
        <v>0.0</v>
      </c>
    </row>
    <row r="68">
      <c r="A68" s="41" t="str">
        <f>VLOOKUP(C68,'YTD Income Statement'!$F:$F,1,false)</f>
        <v>#N/A</v>
      </c>
      <c r="B68" s="41" t="s">
        <v>966</v>
      </c>
      <c r="C68" s="41" t="s">
        <v>110</v>
      </c>
      <c r="D68" s="386" t="s">
        <v>35</v>
      </c>
      <c r="E68" s="70">
        <f>1625.98</f>
        <v>1625.98</v>
      </c>
      <c r="F68" s="386">
        <v>0.0</v>
      </c>
      <c r="G68" s="386">
        <v>0.0</v>
      </c>
      <c r="H68" s="386">
        <v>0.0</v>
      </c>
      <c r="I68" s="386">
        <v>0.0</v>
      </c>
      <c r="J68" s="386">
        <v>0.0</v>
      </c>
      <c r="K68" s="386">
        <v>0.0</v>
      </c>
      <c r="L68" s="386">
        <v>0.0</v>
      </c>
      <c r="M68" s="386">
        <v>0.0</v>
      </c>
      <c r="N68" s="386">
        <v>0.0</v>
      </c>
      <c r="O68" s="386">
        <v>0.0</v>
      </c>
      <c r="P68" s="386">
        <v>0.0</v>
      </c>
      <c r="Q68" s="386">
        <v>0.0</v>
      </c>
      <c r="R68" s="386">
        <v>0.0</v>
      </c>
      <c r="S68" s="386">
        <v>0.0</v>
      </c>
      <c r="T68" s="386">
        <v>0.0</v>
      </c>
      <c r="U68" s="386">
        <v>0.0</v>
      </c>
      <c r="V68" s="386">
        <v>0.0</v>
      </c>
      <c r="W68" s="386">
        <v>0.0</v>
      </c>
      <c r="X68" s="386">
        <v>0.0</v>
      </c>
      <c r="Y68" s="70">
        <f>1625.98</f>
        <v>1625.98</v>
      </c>
      <c r="Z68" s="386">
        <v>0.0</v>
      </c>
      <c r="AA68" s="386">
        <v>0.0</v>
      </c>
      <c r="AB68" s="386">
        <v>0.0</v>
      </c>
      <c r="AC68" s="386">
        <v>0.0</v>
      </c>
    </row>
    <row r="69">
      <c r="A69" s="41" t="str">
        <f>VLOOKUP(C69,'YTD Income Statement'!$F:$F,1,false)</f>
        <v>2551-6342</v>
      </c>
      <c r="B69" s="41" t="s">
        <v>966</v>
      </c>
      <c r="C69" s="41" t="s">
        <v>111</v>
      </c>
      <c r="D69" s="386" t="s">
        <v>35</v>
      </c>
      <c r="E69" s="386">
        <v>5940.0</v>
      </c>
      <c r="F69" s="386">
        <v>0.0</v>
      </c>
      <c r="G69" s="386">
        <v>495.0</v>
      </c>
      <c r="H69" s="386">
        <v>0.0</v>
      </c>
      <c r="I69" s="386">
        <v>495.0</v>
      </c>
      <c r="J69" s="386">
        <v>0.0</v>
      </c>
      <c r="K69" s="386">
        <v>495.0</v>
      </c>
      <c r="L69" s="386">
        <v>0.0</v>
      </c>
      <c r="M69" s="386">
        <v>495.0</v>
      </c>
      <c r="N69" s="386">
        <v>0.0</v>
      </c>
      <c r="O69" s="386">
        <v>495.0</v>
      </c>
      <c r="P69" s="386">
        <v>0.0</v>
      </c>
      <c r="Q69" s="386">
        <v>495.0</v>
      </c>
      <c r="R69" s="386">
        <v>0.0</v>
      </c>
      <c r="S69" s="386">
        <v>495.0</v>
      </c>
      <c r="T69" s="386">
        <v>0.0</v>
      </c>
      <c r="U69" s="386">
        <v>495.0</v>
      </c>
      <c r="V69" s="386">
        <v>0.0</v>
      </c>
      <c r="W69" s="386">
        <v>495.0</v>
      </c>
      <c r="X69" s="386">
        <v>0.0</v>
      </c>
      <c r="Y69" s="386">
        <v>495.0</v>
      </c>
      <c r="Z69" s="386">
        <v>0.0</v>
      </c>
      <c r="AA69" s="386">
        <v>495.0</v>
      </c>
      <c r="AB69" s="386">
        <v>0.0</v>
      </c>
      <c r="AC69" s="386">
        <v>495.0</v>
      </c>
    </row>
    <row r="70">
      <c r="A70" s="41" t="str">
        <f>VLOOKUP(C70,'YTD Income Statement'!$F:$F,1,false)</f>
        <v>2562-6319</v>
      </c>
      <c r="B70" s="41" t="s">
        <v>964</v>
      </c>
      <c r="C70" s="41" t="s">
        <v>112</v>
      </c>
      <c r="D70" s="386" t="s">
        <v>35</v>
      </c>
      <c r="E70" s="386">
        <f t="shared" ref="E70:E71" si="5">sum(F70:AC70)</f>
        <v>262</v>
      </c>
      <c r="F70" s="386">
        <v>0.0</v>
      </c>
      <c r="G70" s="386">
        <v>0.0</v>
      </c>
      <c r="H70" s="386">
        <v>0.0</v>
      </c>
      <c r="I70" s="386">
        <v>0.0</v>
      </c>
      <c r="J70" s="386">
        <v>0.0</v>
      </c>
      <c r="K70" s="386">
        <v>0.0</v>
      </c>
      <c r="L70" s="386">
        <v>0.0</v>
      </c>
      <c r="M70" s="386">
        <v>0.0</v>
      </c>
      <c r="N70" s="386">
        <v>0.0</v>
      </c>
      <c r="O70" s="386">
        <v>0.0</v>
      </c>
      <c r="P70" s="386">
        <v>0.0</v>
      </c>
      <c r="Q70" s="386">
        <v>0.0</v>
      </c>
      <c r="R70" s="386">
        <v>0.0</v>
      </c>
      <c r="S70" s="386">
        <v>0.0</v>
      </c>
      <c r="T70" s="386">
        <v>0.0</v>
      </c>
      <c r="U70" s="386">
        <v>0.0</v>
      </c>
      <c r="V70" s="386">
        <v>0.0</v>
      </c>
      <c r="W70" s="386">
        <v>0.0</v>
      </c>
      <c r="X70" s="386">
        <v>0.0</v>
      </c>
      <c r="Y70" s="386">
        <v>262.0</v>
      </c>
      <c r="Z70" s="386">
        <v>0.0</v>
      </c>
      <c r="AA70" s="386">
        <v>0.0</v>
      </c>
      <c r="AB70" s="386">
        <v>0.0</v>
      </c>
      <c r="AC70" s="386">
        <v>0.0</v>
      </c>
    </row>
    <row r="71">
      <c r="A71" s="41" t="str">
        <f>VLOOKUP(C71,'YTD Income Statement'!$F:$F,1,false)</f>
        <v>2562-6411</v>
      </c>
      <c r="B71" s="41" t="s">
        <v>961</v>
      </c>
      <c r="C71" s="41" t="s">
        <v>113</v>
      </c>
      <c r="D71" s="386" t="s">
        <v>35</v>
      </c>
      <c r="E71" s="386">
        <f t="shared" si="5"/>
        <v>4907.74</v>
      </c>
      <c r="F71" s="386">
        <v>0.0</v>
      </c>
      <c r="G71" s="386">
        <v>0.0</v>
      </c>
      <c r="H71" s="386">
        <v>0.0</v>
      </c>
      <c r="I71" s="386">
        <v>0.0</v>
      </c>
      <c r="J71" s="386">
        <v>0.0</v>
      </c>
      <c r="K71" s="386">
        <v>0.0</v>
      </c>
      <c r="L71" s="386">
        <v>0.0</v>
      </c>
      <c r="M71" s="386">
        <v>0.0</v>
      </c>
      <c r="N71" s="386">
        <v>0.0</v>
      </c>
      <c r="O71" s="386">
        <v>0.0</v>
      </c>
      <c r="P71" s="386">
        <v>0.0</v>
      </c>
      <c r="Q71" s="386">
        <v>0.0</v>
      </c>
      <c r="R71" s="386">
        <v>0.0</v>
      </c>
      <c r="S71" s="386">
        <v>0.0</v>
      </c>
      <c r="T71" s="386">
        <v>0.0</v>
      </c>
      <c r="U71" s="386">
        <v>0.0</v>
      </c>
      <c r="V71" s="386">
        <v>0.0</v>
      </c>
      <c r="W71" s="386">
        <v>0.0</v>
      </c>
      <c r="X71" s="386">
        <v>0.0</v>
      </c>
      <c r="Y71" s="386">
        <v>4407.74</v>
      </c>
      <c r="Z71" s="386">
        <v>0.0</v>
      </c>
      <c r="AA71" s="386">
        <v>0.0</v>
      </c>
      <c r="AB71" s="386">
        <v>500.0</v>
      </c>
      <c r="AC71" s="386">
        <v>0.0</v>
      </c>
    </row>
    <row r="72">
      <c r="A72" s="41" t="str">
        <f>VLOOKUP(C72,'YTD Income Statement'!$F:$F,1,false)</f>
        <v>#N/A</v>
      </c>
      <c r="B72" s="41" t="s">
        <v>961</v>
      </c>
      <c r="C72" s="41" t="s">
        <v>114</v>
      </c>
      <c r="D72" s="386" t="s">
        <v>35</v>
      </c>
      <c r="E72" s="386">
        <v>8145.0</v>
      </c>
      <c r="F72" s="386">
        <v>0.0</v>
      </c>
      <c r="G72" s="386">
        <v>678.75</v>
      </c>
      <c r="H72" s="386">
        <v>0.0</v>
      </c>
      <c r="I72" s="386">
        <v>678.75</v>
      </c>
      <c r="J72" s="386">
        <v>0.0</v>
      </c>
      <c r="K72" s="386">
        <v>678.75</v>
      </c>
      <c r="L72" s="386">
        <v>0.0</v>
      </c>
      <c r="M72" s="386">
        <v>678.75</v>
      </c>
      <c r="N72" s="386">
        <v>0.0</v>
      </c>
      <c r="O72" s="386">
        <v>678.75</v>
      </c>
      <c r="P72" s="386">
        <v>0.0</v>
      </c>
      <c r="Q72" s="386">
        <v>678.75</v>
      </c>
      <c r="R72" s="386">
        <v>0.0</v>
      </c>
      <c r="S72" s="386">
        <v>678.75</v>
      </c>
      <c r="T72" s="386">
        <v>0.0</v>
      </c>
      <c r="U72" s="386">
        <v>678.75</v>
      </c>
      <c r="V72" s="386">
        <v>0.0</v>
      </c>
      <c r="W72" s="386">
        <v>678.75</v>
      </c>
      <c r="X72" s="386">
        <v>0.0</v>
      </c>
      <c r="Y72" s="386">
        <v>678.75</v>
      </c>
      <c r="Z72" s="386">
        <v>0.0</v>
      </c>
      <c r="AA72" s="386">
        <v>678.75</v>
      </c>
      <c r="AB72" s="386">
        <v>0.0</v>
      </c>
      <c r="AC72" s="386">
        <v>678.75</v>
      </c>
    </row>
    <row r="73">
      <c r="A73" s="41" t="str">
        <f>VLOOKUP(C73,'YTD Income Statement'!$F:$F,1,false)</f>
        <v>2563-6391</v>
      </c>
      <c r="B73" s="41" t="s">
        <v>961</v>
      </c>
      <c r="C73" s="41" t="s">
        <v>115</v>
      </c>
      <c r="D73" s="386" t="s">
        <v>35</v>
      </c>
      <c r="E73" s="386">
        <v>119455.0</v>
      </c>
      <c r="F73" s="386">
        <v>0.0</v>
      </c>
      <c r="G73" s="386">
        <v>9954.58</v>
      </c>
      <c r="H73" s="386">
        <v>0.0</v>
      </c>
      <c r="I73" s="386">
        <v>9954.58</v>
      </c>
      <c r="J73" s="386">
        <v>0.0</v>
      </c>
      <c r="K73" s="386">
        <v>9954.58</v>
      </c>
      <c r="L73" s="386">
        <v>0.0</v>
      </c>
      <c r="M73" s="386">
        <v>9954.58</v>
      </c>
      <c r="N73" s="386">
        <v>0.0</v>
      </c>
      <c r="O73" s="386">
        <v>9954.58</v>
      </c>
      <c r="P73" s="386">
        <v>0.0</v>
      </c>
      <c r="Q73" s="386">
        <v>9954.58</v>
      </c>
      <c r="R73" s="386">
        <v>0.0</v>
      </c>
      <c r="S73" s="386">
        <v>9954.58</v>
      </c>
      <c r="T73" s="386">
        <v>0.0</v>
      </c>
      <c r="U73" s="386">
        <v>9954.58</v>
      </c>
      <c r="V73" s="386">
        <v>0.0</v>
      </c>
      <c r="W73" s="386">
        <v>9954.58</v>
      </c>
      <c r="X73" s="386">
        <v>0.0</v>
      </c>
      <c r="Y73" s="386">
        <v>9954.58</v>
      </c>
      <c r="Z73" s="386">
        <v>0.0</v>
      </c>
      <c r="AA73" s="386">
        <v>9954.58</v>
      </c>
      <c r="AB73" s="386">
        <v>0.0</v>
      </c>
      <c r="AC73" s="386">
        <v>9954.58</v>
      </c>
    </row>
    <row r="74">
      <c r="A74" s="41" t="str">
        <f>VLOOKUP(C74,'YTD Income Statement'!$F:$F,1,false)</f>
        <v>2911-6319</v>
      </c>
      <c r="B74" s="41" t="s">
        <v>961</v>
      </c>
      <c r="C74" s="41" t="s">
        <v>116</v>
      </c>
      <c r="D74" s="386" t="s">
        <v>35</v>
      </c>
      <c r="E74" s="386">
        <v>254900.76</v>
      </c>
      <c r="F74" s="386">
        <v>0.0</v>
      </c>
      <c r="G74" s="386">
        <v>21241.73</v>
      </c>
      <c r="H74" s="386">
        <v>0.0</v>
      </c>
      <c r="I74" s="386">
        <v>21241.73</v>
      </c>
      <c r="J74" s="386">
        <v>0.0</v>
      </c>
      <c r="K74" s="386">
        <v>21241.73</v>
      </c>
      <c r="L74" s="386">
        <v>0.0</v>
      </c>
      <c r="M74" s="386">
        <v>21241.73</v>
      </c>
      <c r="N74" s="386">
        <v>0.0</v>
      </c>
      <c r="O74" s="386">
        <v>21241.73</v>
      </c>
      <c r="P74" s="386">
        <v>0.0</v>
      </c>
      <c r="Q74" s="386">
        <v>21241.73</v>
      </c>
      <c r="R74" s="386">
        <v>0.0</v>
      </c>
      <c r="S74" s="386">
        <v>21241.73</v>
      </c>
      <c r="T74" s="386">
        <v>0.0</v>
      </c>
      <c r="U74" s="386">
        <v>21241.73</v>
      </c>
      <c r="V74" s="386">
        <v>0.0</v>
      </c>
      <c r="W74" s="386">
        <v>21241.73</v>
      </c>
      <c r="X74" s="386">
        <v>0.0</v>
      </c>
      <c r="Y74" s="386">
        <v>21241.73</v>
      </c>
      <c r="Z74" s="386">
        <v>0.0</v>
      </c>
      <c r="AA74" s="386">
        <v>21241.73</v>
      </c>
      <c r="AB74" s="386">
        <v>0.0</v>
      </c>
      <c r="AC74" s="386">
        <v>21241.73</v>
      </c>
    </row>
    <row r="75">
      <c r="A75" s="41" t="str">
        <f>VLOOKUP(C75,'YTD Income Statement'!$F:$F,1,false)</f>
        <v>0000-5141</v>
      </c>
      <c r="B75" s="41" t="s">
        <v>954</v>
      </c>
      <c r="C75" s="41" t="s">
        <v>117</v>
      </c>
      <c r="D75" s="386" t="s">
        <v>36</v>
      </c>
      <c r="E75" s="386">
        <v>0.0</v>
      </c>
      <c r="F75" s="386">
        <v>0.0</v>
      </c>
      <c r="G75" s="386">
        <v>0.0</v>
      </c>
      <c r="H75" s="386">
        <v>0.0</v>
      </c>
      <c r="I75" s="386">
        <v>0.0</v>
      </c>
      <c r="J75" s="386">
        <v>0.0</v>
      </c>
      <c r="K75" s="386">
        <v>0.0</v>
      </c>
      <c r="L75" s="386">
        <v>0.0</v>
      </c>
      <c r="M75" s="386">
        <v>0.0</v>
      </c>
      <c r="N75" s="386">
        <v>0.0</v>
      </c>
      <c r="O75" s="386">
        <v>0.0</v>
      </c>
      <c r="P75" s="386">
        <v>0.0</v>
      </c>
      <c r="Q75" s="386">
        <v>0.0</v>
      </c>
      <c r="R75" s="386">
        <v>0.0</v>
      </c>
      <c r="S75" s="386">
        <v>0.0</v>
      </c>
      <c r="T75" s="386">
        <v>0.0</v>
      </c>
      <c r="U75" s="386">
        <v>0.0</v>
      </c>
      <c r="V75" s="386">
        <v>0.0</v>
      </c>
      <c r="W75" s="386">
        <v>0.0</v>
      </c>
      <c r="X75" s="386">
        <v>0.0</v>
      </c>
      <c r="Y75" s="386">
        <v>0.0</v>
      </c>
      <c r="Z75" s="386">
        <v>0.0</v>
      </c>
      <c r="AA75" s="386">
        <v>0.0</v>
      </c>
      <c r="AB75" s="386">
        <v>0.0</v>
      </c>
      <c r="AC75" s="386">
        <v>0.0</v>
      </c>
    </row>
    <row r="76">
      <c r="A76" s="41" t="str">
        <f>VLOOKUP(C76,'YTD Income Statement'!$F:$F,1,false)</f>
        <v>0000-5161</v>
      </c>
      <c r="B76" s="41" t="s">
        <v>954</v>
      </c>
      <c r="C76" s="41" t="s">
        <v>118</v>
      </c>
      <c r="D76" s="43" t="s">
        <v>36</v>
      </c>
      <c r="E76" s="386">
        <v>0.0</v>
      </c>
      <c r="F76" s="386">
        <v>0.0</v>
      </c>
      <c r="G76" s="386">
        <v>0.0</v>
      </c>
      <c r="H76" s="386">
        <v>0.0</v>
      </c>
      <c r="I76" s="386">
        <v>0.0</v>
      </c>
      <c r="J76" s="386">
        <v>0.0</v>
      </c>
      <c r="K76" s="386">
        <v>0.0</v>
      </c>
      <c r="L76" s="386">
        <v>0.0</v>
      </c>
      <c r="M76" s="386">
        <v>0.0</v>
      </c>
      <c r="N76" s="386">
        <v>0.0</v>
      </c>
      <c r="O76" s="386">
        <v>0.0</v>
      </c>
      <c r="P76" s="386">
        <v>0.0</v>
      </c>
      <c r="Q76" s="386">
        <v>0.0</v>
      </c>
      <c r="R76" s="386">
        <v>0.0</v>
      </c>
      <c r="S76" s="386">
        <v>0.0</v>
      </c>
      <c r="T76" s="386">
        <v>0.0</v>
      </c>
      <c r="U76" s="386">
        <v>0.0</v>
      </c>
      <c r="V76" s="386">
        <v>0.0</v>
      </c>
      <c r="W76" s="386">
        <v>0.0</v>
      </c>
      <c r="X76" s="386">
        <v>0.0</v>
      </c>
      <c r="Y76" s="386">
        <v>0.0</v>
      </c>
      <c r="Z76" s="386">
        <v>0.0</v>
      </c>
      <c r="AA76" s="386">
        <v>0.0</v>
      </c>
      <c r="AB76" s="386">
        <v>0.0</v>
      </c>
      <c r="AC76" s="386">
        <v>0.0</v>
      </c>
    </row>
    <row r="77">
      <c r="A77" s="41" t="str">
        <f>VLOOKUP(C77,'YTD Income Statement'!$F:$F,1,false)</f>
        <v>0000-5172</v>
      </c>
      <c r="B77" s="41" t="s">
        <v>954</v>
      </c>
      <c r="C77" s="41" t="s">
        <v>119</v>
      </c>
      <c r="D77" s="43" t="s">
        <v>36</v>
      </c>
      <c r="E77" s="386">
        <v>0.0</v>
      </c>
      <c r="F77" s="386">
        <v>0.0</v>
      </c>
      <c r="G77" s="386">
        <v>0.0</v>
      </c>
      <c r="H77" s="386">
        <v>0.0</v>
      </c>
      <c r="I77" s="386">
        <v>0.0</v>
      </c>
      <c r="J77" s="386">
        <v>0.0</v>
      </c>
      <c r="K77" s="386">
        <v>0.0</v>
      </c>
      <c r="L77" s="386">
        <v>0.0</v>
      </c>
      <c r="M77" s="386">
        <v>0.0</v>
      </c>
      <c r="N77" s="386">
        <v>0.0</v>
      </c>
      <c r="O77" s="386">
        <v>0.0</v>
      </c>
      <c r="P77" s="386">
        <v>0.0</v>
      </c>
      <c r="Q77" s="386">
        <v>0.0</v>
      </c>
      <c r="R77" s="386">
        <v>0.0</v>
      </c>
      <c r="S77" s="386">
        <v>0.0</v>
      </c>
      <c r="T77" s="386">
        <v>0.0</v>
      </c>
      <c r="U77" s="386">
        <v>0.0</v>
      </c>
      <c r="V77" s="386">
        <v>0.0</v>
      </c>
      <c r="W77" s="386">
        <v>0.0</v>
      </c>
      <c r="X77" s="386">
        <v>0.0</v>
      </c>
      <c r="Y77" s="386">
        <v>0.0</v>
      </c>
      <c r="Z77" s="386">
        <v>0.0</v>
      </c>
      <c r="AA77" s="386">
        <v>0.0</v>
      </c>
      <c r="AB77" s="386">
        <v>0.0</v>
      </c>
      <c r="AC77" s="386">
        <v>0.0</v>
      </c>
    </row>
    <row r="78">
      <c r="A78" s="41" t="str">
        <f>VLOOKUP(C78,'YTD Income Statement'!$F:$F,1,false)</f>
        <v>0000-5471</v>
      </c>
      <c r="B78" s="41" t="s">
        <v>956</v>
      </c>
      <c r="C78" s="41" t="s">
        <v>120</v>
      </c>
      <c r="D78" s="43" t="s">
        <v>36</v>
      </c>
      <c r="E78" s="386">
        <v>0.0</v>
      </c>
      <c r="F78" s="386">
        <v>0.0</v>
      </c>
      <c r="G78" s="386">
        <v>0.0</v>
      </c>
      <c r="H78" s="386">
        <v>0.0</v>
      </c>
      <c r="I78" s="386">
        <v>0.0</v>
      </c>
      <c r="J78" s="386">
        <v>0.0</v>
      </c>
      <c r="K78" s="386">
        <v>0.0</v>
      </c>
      <c r="L78" s="386">
        <v>0.0</v>
      </c>
      <c r="M78" s="386">
        <v>0.0</v>
      </c>
      <c r="N78" s="386">
        <v>0.0</v>
      </c>
      <c r="O78" s="386">
        <v>0.0</v>
      </c>
      <c r="P78" s="386">
        <v>0.0</v>
      </c>
      <c r="Q78" s="386">
        <v>0.0</v>
      </c>
      <c r="R78" s="386">
        <v>0.0</v>
      </c>
      <c r="S78" s="386">
        <v>0.0</v>
      </c>
      <c r="T78" s="386">
        <v>0.0</v>
      </c>
      <c r="U78" s="386">
        <v>0.0</v>
      </c>
      <c r="V78" s="386">
        <v>0.0</v>
      </c>
      <c r="W78" s="386">
        <v>0.0</v>
      </c>
      <c r="X78" s="386">
        <v>0.0</v>
      </c>
      <c r="Y78" s="386">
        <v>0.0</v>
      </c>
      <c r="Z78" s="386">
        <v>0.0</v>
      </c>
      <c r="AA78" s="386">
        <v>0.0</v>
      </c>
      <c r="AB78" s="386">
        <v>0.0</v>
      </c>
      <c r="AC78" s="386">
        <v>0.0</v>
      </c>
    </row>
    <row r="79">
      <c r="A79" s="41" t="str">
        <f>VLOOKUP(C79,'YTD Income Statement'!$F:$F,1,false)</f>
        <v>0000-5841</v>
      </c>
      <c r="B79" s="41" t="s">
        <v>954</v>
      </c>
      <c r="C79" s="41" t="s">
        <v>121</v>
      </c>
      <c r="D79" s="43" t="s">
        <v>36</v>
      </c>
      <c r="E79" s="386">
        <v>0.0</v>
      </c>
      <c r="F79" s="386">
        <v>0.0</v>
      </c>
      <c r="G79" s="386">
        <v>0.0</v>
      </c>
      <c r="H79" s="386">
        <v>0.0</v>
      </c>
      <c r="I79" s="386">
        <v>0.0</v>
      </c>
      <c r="J79" s="386">
        <v>0.0</v>
      </c>
      <c r="K79" s="386">
        <v>0.0</v>
      </c>
      <c r="L79" s="386">
        <v>0.0</v>
      </c>
      <c r="M79" s="386">
        <v>0.0</v>
      </c>
      <c r="N79" s="386">
        <v>0.0</v>
      </c>
      <c r="O79" s="386">
        <v>0.0</v>
      </c>
      <c r="P79" s="386">
        <v>0.0</v>
      </c>
      <c r="Q79" s="386">
        <v>0.0</v>
      </c>
      <c r="R79" s="386">
        <v>0.0</v>
      </c>
      <c r="S79" s="386">
        <v>0.0</v>
      </c>
      <c r="T79" s="386">
        <v>0.0</v>
      </c>
      <c r="U79" s="386">
        <v>0.0</v>
      </c>
      <c r="V79" s="386">
        <v>0.0</v>
      </c>
      <c r="W79" s="386">
        <v>0.0</v>
      </c>
      <c r="X79" s="386">
        <v>0.0</v>
      </c>
      <c r="Y79" s="386">
        <v>0.0</v>
      </c>
      <c r="Z79" s="386">
        <v>0.0</v>
      </c>
      <c r="AA79" s="386">
        <v>0.0</v>
      </c>
      <c r="AB79" s="386">
        <v>0.0</v>
      </c>
      <c r="AC79" s="386">
        <v>0.0</v>
      </c>
    </row>
    <row r="80">
      <c r="A80" s="41" t="str">
        <f>VLOOKUP(C80,'YTD Income Statement'!$F:$F,1,false)</f>
        <v>2323-6319</v>
      </c>
      <c r="B80" s="41" t="s">
        <v>962</v>
      </c>
      <c r="C80" s="41" t="s">
        <v>122</v>
      </c>
      <c r="D80" s="386" t="s">
        <v>35</v>
      </c>
      <c r="E80" s="386">
        <v>0.0</v>
      </c>
      <c r="F80" s="386">
        <v>0.0</v>
      </c>
      <c r="G80" s="386">
        <v>0.0</v>
      </c>
      <c r="H80" s="386">
        <v>0.0</v>
      </c>
      <c r="I80" s="386">
        <v>0.0</v>
      </c>
      <c r="J80" s="386">
        <v>0.0</v>
      </c>
      <c r="K80" s="386">
        <v>0.0</v>
      </c>
      <c r="L80" s="386">
        <v>0.0</v>
      </c>
      <c r="M80" s="386">
        <v>0.0</v>
      </c>
      <c r="N80" s="386">
        <v>0.0</v>
      </c>
      <c r="O80" s="386">
        <v>0.0</v>
      </c>
      <c r="P80" s="386">
        <v>0.0</v>
      </c>
      <c r="Q80" s="386">
        <v>0.0</v>
      </c>
      <c r="R80" s="386">
        <v>0.0</v>
      </c>
      <c r="S80" s="386">
        <v>0.0</v>
      </c>
      <c r="T80" s="386">
        <v>0.0</v>
      </c>
      <c r="U80" s="386">
        <v>0.0</v>
      </c>
      <c r="V80" s="386">
        <v>0.0</v>
      </c>
      <c r="W80" s="386">
        <v>0.0</v>
      </c>
      <c r="X80" s="386">
        <v>0.0</v>
      </c>
      <c r="Y80" s="386">
        <v>0.0</v>
      </c>
      <c r="Z80" s="386">
        <v>0.0</v>
      </c>
      <c r="AA80" s="386">
        <v>0.0</v>
      </c>
      <c r="AB80" s="386">
        <v>0.0</v>
      </c>
      <c r="AC80" s="386">
        <v>0.0</v>
      </c>
    </row>
    <row r="81">
      <c r="A81" s="41" t="str">
        <f>VLOOKUP(C81,'YTD Income Statement'!$F:$F,1,false)</f>
        <v>2542-6319</v>
      </c>
      <c r="B81" s="41" t="s">
        <v>964</v>
      </c>
      <c r="C81" s="41" t="s">
        <v>123</v>
      </c>
      <c r="D81" s="386" t="s">
        <v>35</v>
      </c>
      <c r="E81" s="386">
        <v>0.0</v>
      </c>
      <c r="F81" s="386">
        <v>0.0</v>
      </c>
      <c r="G81" s="386">
        <v>0.0</v>
      </c>
      <c r="H81" s="386">
        <v>0.0</v>
      </c>
      <c r="I81" s="386">
        <v>0.0</v>
      </c>
      <c r="J81" s="386">
        <v>0.0</v>
      </c>
      <c r="K81" s="386">
        <v>0.0</v>
      </c>
      <c r="L81" s="386">
        <v>0.0</v>
      </c>
      <c r="M81" s="386">
        <v>0.0</v>
      </c>
      <c r="N81" s="386">
        <v>0.0</v>
      </c>
      <c r="O81" s="386">
        <v>0.0</v>
      </c>
      <c r="P81" s="386">
        <v>0.0</v>
      </c>
      <c r="Q81" s="386">
        <v>0.0</v>
      </c>
      <c r="R81" s="386">
        <v>0.0</v>
      </c>
      <c r="S81" s="386">
        <v>0.0</v>
      </c>
      <c r="T81" s="386">
        <v>0.0</v>
      </c>
      <c r="U81" s="386">
        <v>0.0</v>
      </c>
      <c r="V81" s="386">
        <v>0.0</v>
      </c>
      <c r="W81" s="386">
        <v>0.0</v>
      </c>
      <c r="X81" s="386">
        <v>0.0</v>
      </c>
      <c r="Y81" s="386">
        <v>0.0</v>
      </c>
      <c r="Z81" s="386">
        <v>0.0</v>
      </c>
      <c r="AA81" s="386">
        <v>0.0</v>
      </c>
      <c r="AB81" s="386">
        <v>0.0</v>
      </c>
      <c r="AC81" s="386">
        <v>0.0</v>
      </c>
    </row>
    <row r="82">
      <c r="B82" s="41" t="s">
        <v>960</v>
      </c>
      <c r="C82" s="41" t="s">
        <v>967</v>
      </c>
      <c r="D82" s="386" t="s">
        <v>35</v>
      </c>
      <c r="E82" s="386">
        <v>0.0</v>
      </c>
      <c r="F82" s="386">
        <v>0.0</v>
      </c>
      <c r="G82" s="386">
        <v>0.0</v>
      </c>
      <c r="H82" s="386">
        <v>0.0</v>
      </c>
      <c r="I82" s="386">
        <v>0.0</v>
      </c>
      <c r="J82" s="386">
        <v>0.0</v>
      </c>
      <c r="K82" s="386">
        <v>0.0</v>
      </c>
      <c r="L82" s="386">
        <v>0.0</v>
      </c>
      <c r="M82" s="386">
        <v>0.0</v>
      </c>
      <c r="N82" s="386">
        <v>0.0</v>
      </c>
      <c r="O82" s="386">
        <v>0.0</v>
      </c>
      <c r="P82" s="386">
        <v>0.0</v>
      </c>
      <c r="Q82" s="386">
        <v>0.0</v>
      </c>
      <c r="R82" s="386">
        <v>0.0</v>
      </c>
      <c r="S82" s="386">
        <v>0.0</v>
      </c>
      <c r="T82" s="386">
        <v>0.0</v>
      </c>
      <c r="U82" s="386">
        <v>0.0</v>
      </c>
      <c r="V82" s="386">
        <v>0.0</v>
      </c>
      <c r="W82" s="386">
        <v>0.0</v>
      </c>
      <c r="X82" s="386">
        <v>0.0</v>
      </c>
      <c r="Y82" s="386">
        <v>0.0</v>
      </c>
      <c r="Z82" s="386">
        <v>0.0</v>
      </c>
      <c r="AA82" s="386">
        <v>0.0</v>
      </c>
      <c r="AB82" s="386">
        <v>0.0</v>
      </c>
      <c r="AC82" s="386">
        <v>0.0</v>
      </c>
    </row>
    <row r="83">
      <c r="A83" s="41" t="str">
        <f>VLOOKUP(C83,'YTD Income Statement'!$F:$F,1,false)</f>
        <v>1221-6411</v>
      </c>
      <c r="B83" s="41" t="s">
        <v>960</v>
      </c>
      <c r="C83" s="41" t="s">
        <v>125</v>
      </c>
      <c r="D83" s="386" t="s">
        <v>35</v>
      </c>
      <c r="E83" s="386">
        <v>0.0</v>
      </c>
      <c r="F83" s="386">
        <v>0.0</v>
      </c>
      <c r="G83" s="386">
        <v>0.0</v>
      </c>
      <c r="H83" s="386">
        <v>0.0</v>
      </c>
      <c r="I83" s="386">
        <v>0.0</v>
      </c>
      <c r="J83" s="386">
        <v>0.0</v>
      </c>
      <c r="K83" s="386">
        <v>0.0</v>
      </c>
      <c r="L83" s="386">
        <v>0.0</v>
      </c>
      <c r="M83" s="386">
        <v>0.0</v>
      </c>
      <c r="N83" s="386">
        <v>0.0</v>
      </c>
      <c r="O83" s="386">
        <v>0.0</v>
      </c>
      <c r="P83" s="386">
        <v>0.0</v>
      </c>
      <c r="Q83" s="386">
        <v>0.0</v>
      </c>
      <c r="R83" s="386">
        <v>0.0</v>
      </c>
      <c r="S83" s="386">
        <v>0.0</v>
      </c>
      <c r="T83" s="386">
        <v>0.0</v>
      </c>
      <c r="U83" s="386">
        <v>0.0</v>
      </c>
      <c r="V83" s="386">
        <v>0.0</v>
      </c>
      <c r="W83" s="386">
        <v>0.0</v>
      </c>
      <c r="X83" s="386">
        <v>0.0</v>
      </c>
      <c r="Y83" s="386">
        <v>0.0</v>
      </c>
      <c r="Z83" s="386">
        <v>0.0</v>
      </c>
      <c r="AA83" s="386">
        <v>0.0</v>
      </c>
      <c r="AB83" s="386">
        <v>0.0</v>
      </c>
      <c r="AC83" s="386">
        <v>0.0</v>
      </c>
    </row>
    <row r="84">
      <c r="A84" s="41" t="str">
        <f>VLOOKUP(C84,'YTD Income Statement'!$F:$F,1,false)</f>
        <v>2321-6343</v>
      </c>
      <c r="B84" s="41" t="s">
        <v>963</v>
      </c>
      <c r="C84" s="41" t="s">
        <v>126</v>
      </c>
      <c r="D84" s="386" t="s">
        <v>35</v>
      </c>
      <c r="E84" s="386">
        <v>0.0</v>
      </c>
      <c r="F84" s="386">
        <v>0.0</v>
      </c>
      <c r="G84" s="386">
        <v>0.0</v>
      </c>
      <c r="H84" s="386">
        <v>0.0</v>
      </c>
      <c r="I84" s="386">
        <v>0.0</v>
      </c>
      <c r="J84" s="386">
        <v>0.0</v>
      </c>
      <c r="K84" s="386">
        <v>0.0</v>
      </c>
      <c r="L84" s="386">
        <v>0.0</v>
      </c>
      <c r="M84" s="386">
        <v>0.0</v>
      </c>
      <c r="N84" s="386">
        <v>0.0</v>
      </c>
      <c r="O84" s="386">
        <v>0.0</v>
      </c>
      <c r="P84" s="386">
        <v>0.0</v>
      </c>
      <c r="Q84" s="386">
        <v>0.0</v>
      </c>
      <c r="R84" s="386">
        <v>0.0</v>
      </c>
      <c r="S84" s="386">
        <v>0.0</v>
      </c>
      <c r="T84" s="386">
        <v>0.0</v>
      </c>
      <c r="U84" s="386">
        <v>0.0</v>
      </c>
      <c r="V84" s="386">
        <v>0.0</v>
      </c>
      <c r="W84" s="386">
        <v>0.0</v>
      </c>
      <c r="X84" s="386">
        <v>0.0</v>
      </c>
      <c r="Y84" s="386">
        <v>0.0</v>
      </c>
      <c r="Z84" s="386">
        <v>0.0</v>
      </c>
      <c r="AA84" s="386">
        <v>0.0</v>
      </c>
      <c r="AB84" s="386">
        <v>0.0</v>
      </c>
      <c r="AC84" s="386">
        <v>0.0</v>
      </c>
    </row>
    <row r="85">
      <c r="A85" s="41" t="str">
        <f>VLOOKUP(C85,'YTD Income Statement'!$F:$F,1,false)</f>
        <v>2321-6391</v>
      </c>
      <c r="B85" s="41" t="s">
        <v>963</v>
      </c>
      <c r="C85" s="41" t="s">
        <v>127</v>
      </c>
      <c r="D85" s="386" t="s">
        <v>35</v>
      </c>
      <c r="E85" s="386">
        <v>0.0</v>
      </c>
      <c r="F85" s="386">
        <v>0.0</v>
      </c>
      <c r="G85" s="386">
        <v>0.0</v>
      </c>
      <c r="H85" s="386">
        <v>0.0</v>
      </c>
      <c r="I85" s="386">
        <v>0.0</v>
      </c>
      <c r="J85" s="386">
        <v>0.0</v>
      </c>
      <c r="K85" s="386">
        <v>0.0</v>
      </c>
      <c r="L85" s="386">
        <v>0.0</v>
      </c>
      <c r="M85" s="386">
        <v>0.0</v>
      </c>
      <c r="N85" s="386">
        <v>0.0</v>
      </c>
      <c r="O85" s="386">
        <v>0.0</v>
      </c>
      <c r="P85" s="386">
        <v>0.0</v>
      </c>
      <c r="Q85" s="386">
        <v>0.0</v>
      </c>
      <c r="R85" s="386">
        <v>0.0</v>
      </c>
      <c r="S85" s="386">
        <v>0.0</v>
      </c>
      <c r="T85" s="386">
        <v>0.0</v>
      </c>
      <c r="U85" s="386">
        <v>0.0</v>
      </c>
      <c r="V85" s="386">
        <v>0.0</v>
      </c>
      <c r="W85" s="386">
        <v>0.0</v>
      </c>
      <c r="X85" s="386">
        <v>0.0</v>
      </c>
      <c r="Y85" s="386">
        <v>0.0</v>
      </c>
      <c r="Z85" s="386">
        <v>0.0</v>
      </c>
      <c r="AA85" s="386">
        <v>0.0</v>
      </c>
      <c r="AB85" s="386">
        <v>0.0</v>
      </c>
      <c r="AC85" s="386">
        <v>0.0</v>
      </c>
    </row>
    <row r="86">
      <c r="A86" s="41" t="str">
        <f>VLOOKUP(C86,'YTD Income Statement'!$F:$F,1,false)</f>
        <v>2321-6412</v>
      </c>
      <c r="B86" s="41" t="s">
        <v>963</v>
      </c>
      <c r="C86" s="41" t="s">
        <v>128</v>
      </c>
      <c r="D86" s="386" t="s">
        <v>35</v>
      </c>
      <c r="E86" s="386">
        <v>0.0</v>
      </c>
      <c r="F86" s="386">
        <v>0.0</v>
      </c>
      <c r="G86" s="386">
        <v>0.0</v>
      </c>
      <c r="H86" s="386">
        <v>0.0</v>
      </c>
      <c r="I86" s="386">
        <v>0.0</v>
      </c>
      <c r="J86" s="386">
        <v>0.0</v>
      </c>
      <c r="K86" s="386">
        <v>0.0</v>
      </c>
      <c r="L86" s="386">
        <v>0.0</v>
      </c>
      <c r="M86" s="386">
        <v>0.0</v>
      </c>
      <c r="N86" s="386">
        <v>0.0</v>
      </c>
      <c r="O86" s="386">
        <v>0.0</v>
      </c>
      <c r="P86" s="386">
        <v>0.0</v>
      </c>
      <c r="Q86" s="386">
        <v>0.0</v>
      </c>
      <c r="R86" s="386">
        <v>0.0</v>
      </c>
      <c r="S86" s="386">
        <v>0.0</v>
      </c>
      <c r="T86" s="386">
        <v>0.0</v>
      </c>
      <c r="U86" s="386">
        <v>0.0</v>
      </c>
      <c r="V86" s="386">
        <v>0.0</v>
      </c>
      <c r="W86" s="386">
        <v>0.0</v>
      </c>
      <c r="X86" s="386">
        <v>0.0</v>
      </c>
      <c r="Y86" s="386">
        <v>0.0</v>
      </c>
      <c r="Z86" s="386">
        <v>0.0</v>
      </c>
      <c r="AA86" s="386">
        <v>0.0</v>
      </c>
      <c r="AB86" s="386">
        <v>0.0</v>
      </c>
      <c r="AC86" s="386">
        <v>0.0</v>
      </c>
    </row>
    <row r="87">
      <c r="A87" s="41" t="str">
        <f>VLOOKUP(C87,'YTD Income Statement'!$F:$F,1,false)</f>
        <v>2331-6319</v>
      </c>
      <c r="B87" s="41" t="s">
        <v>963</v>
      </c>
      <c r="C87" s="41" t="s">
        <v>129</v>
      </c>
      <c r="D87" s="386" t="s">
        <v>35</v>
      </c>
      <c r="E87" s="386">
        <v>0.0</v>
      </c>
      <c r="F87" s="386">
        <v>0.0</v>
      </c>
      <c r="G87" s="386">
        <v>0.0</v>
      </c>
      <c r="H87" s="386">
        <v>0.0</v>
      </c>
      <c r="I87" s="386">
        <v>0.0</v>
      </c>
      <c r="J87" s="386">
        <v>0.0</v>
      </c>
      <c r="K87" s="386">
        <v>0.0</v>
      </c>
      <c r="L87" s="386">
        <v>0.0</v>
      </c>
      <c r="M87" s="386">
        <v>0.0</v>
      </c>
      <c r="N87" s="386">
        <v>0.0</v>
      </c>
      <c r="O87" s="386">
        <v>0.0</v>
      </c>
      <c r="P87" s="386">
        <v>0.0</v>
      </c>
      <c r="Q87" s="386">
        <v>0.0</v>
      </c>
      <c r="R87" s="386">
        <v>0.0</v>
      </c>
      <c r="S87" s="386">
        <v>0.0</v>
      </c>
      <c r="T87" s="386">
        <v>0.0</v>
      </c>
      <c r="U87" s="386">
        <v>0.0</v>
      </c>
      <c r="V87" s="386">
        <v>0.0</v>
      </c>
      <c r="W87" s="386">
        <v>0.0</v>
      </c>
      <c r="X87" s="386">
        <v>0.0</v>
      </c>
      <c r="Y87" s="386">
        <v>0.0</v>
      </c>
      <c r="Z87" s="386">
        <v>0.0</v>
      </c>
      <c r="AA87" s="386">
        <v>0.0</v>
      </c>
      <c r="AB87" s="386">
        <v>0.0</v>
      </c>
      <c r="AC87" s="386">
        <v>0.0</v>
      </c>
    </row>
    <row r="88">
      <c r="A88" s="41" t="str">
        <f>VLOOKUP(C88,'YTD Income Statement'!$F:$F,1,false)</f>
        <v>#N/A</v>
      </c>
      <c r="B88" s="41" t="s">
        <v>966</v>
      </c>
      <c r="C88" s="41" t="s">
        <v>130</v>
      </c>
      <c r="D88" s="386" t="s">
        <v>35</v>
      </c>
      <c r="E88" s="386">
        <v>0.0</v>
      </c>
      <c r="F88" s="386">
        <v>0.0</v>
      </c>
      <c r="G88" s="386">
        <v>0.0</v>
      </c>
      <c r="H88" s="386">
        <v>0.0</v>
      </c>
      <c r="I88" s="386">
        <v>0.0</v>
      </c>
      <c r="J88" s="386">
        <v>0.0</v>
      </c>
      <c r="K88" s="386">
        <v>0.0</v>
      </c>
      <c r="L88" s="386">
        <v>0.0</v>
      </c>
      <c r="M88" s="386">
        <v>0.0</v>
      </c>
      <c r="N88" s="386">
        <v>0.0</v>
      </c>
      <c r="O88" s="386">
        <v>0.0</v>
      </c>
      <c r="P88" s="386">
        <v>0.0</v>
      </c>
      <c r="Q88" s="386">
        <v>0.0</v>
      </c>
      <c r="R88" s="386">
        <v>0.0</v>
      </c>
      <c r="S88" s="386">
        <v>0.0</v>
      </c>
      <c r="T88" s="386">
        <v>0.0</v>
      </c>
      <c r="U88" s="386">
        <v>0.0</v>
      </c>
      <c r="V88" s="386">
        <v>0.0</v>
      </c>
      <c r="W88" s="386">
        <v>0.0</v>
      </c>
      <c r="X88" s="386">
        <v>0.0</v>
      </c>
      <c r="Y88" s="386">
        <v>0.0</v>
      </c>
      <c r="Z88" s="386">
        <v>0.0</v>
      </c>
      <c r="AA88" s="386">
        <v>0.0</v>
      </c>
      <c r="AB88" s="386">
        <v>0.0</v>
      </c>
      <c r="AC88" s="386">
        <v>0.0</v>
      </c>
    </row>
    <row r="89"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</row>
    <row r="90"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</row>
    <row r="91"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</row>
    <row r="92"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</row>
    <row r="93"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</row>
    <row r="94"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</row>
    <row r="95"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</row>
    <row r="96"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</row>
    <row r="97"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</row>
    <row r="98"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</row>
    <row r="99"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</row>
    <row r="100"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</row>
    <row r="101"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</row>
    <row r="102"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</row>
    <row r="103"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</row>
    <row r="104"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</row>
    <row r="105"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</row>
    <row r="106"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</row>
    <row r="107"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</row>
    <row r="108"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</row>
    <row r="109"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</row>
    <row r="110"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</row>
    <row r="111"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</row>
    <row r="112"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</row>
    <row r="113"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</row>
    <row r="114"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</row>
    <row r="115"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</row>
    <row r="116"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</row>
    <row r="117"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</row>
    <row r="118"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</row>
    <row r="119"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</row>
    <row r="120"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</row>
    <row r="121"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</row>
    <row r="122"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</row>
    <row r="123"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</row>
    <row r="124"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</row>
    <row r="125"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</row>
    <row r="126"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</row>
    <row r="127"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</row>
    <row r="128"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</row>
    <row r="129"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</row>
    <row r="130"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</row>
    <row r="131"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</row>
    <row r="132"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</row>
    <row r="133"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</row>
    <row r="134"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</row>
    <row r="135"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</row>
    <row r="136"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</row>
    <row r="137"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</row>
    <row r="138"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</row>
    <row r="139"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</row>
    <row r="140"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</row>
    <row r="141"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</row>
    <row r="142"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</row>
    <row r="143"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</row>
    <row r="144"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</row>
    <row r="145"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</row>
    <row r="146"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</row>
    <row r="147"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</row>
    <row r="148"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</row>
    <row r="149"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</row>
    <row r="150"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</row>
    <row r="151"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</row>
    <row r="152"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</row>
    <row r="153"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</row>
    <row r="154"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</row>
    <row r="155"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</row>
    <row r="156"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</row>
    <row r="157"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</row>
    <row r="158"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</row>
    <row r="159"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</row>
    <row r="160"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</row>
    <row r="161"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</row>
    <row r="162"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</row>
    <row r="163"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</row>
    <row r="164"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</row>
    <row r="165"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</row>
    <row r="166"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</row>
    <row r="167"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</row>
    <row r="168"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</row>
    <row r="169"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</row>
    <row r="170"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</row>
    <row r="171"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</row>
    <row r="172"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</row>
    <row r="173"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</row>
    <row r="174"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</row>
    <row r="175"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</row>
    <row r="176"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</row>
    <row r="177"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</row>
    <row r="178"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</row>
    <row r="179"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</row>
    <row r="180"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</row>
    <row r="181"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</row>
    <row r="182"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</row>
    <row r="183"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</row>
    <row r="184"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</row>
    <row r="185"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</row>
    <row r="186"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</row>
    <row r="187"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</row>
    <row r="188"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</row>
    <row r="189"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</row>
    <row r="190"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</row>
    <row r="191"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</row>
    <row r="192"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</row>
    <row r="193"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</row>
    <row r="194"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</row>
    <row r="195"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</row>
    <row r="196"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</row>
    <row r="197"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</row>
    <row r="198"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</row>
    <row r="199"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</row>
    <row r="200"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</row>
    <row r="201"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</row>
    <row r="202"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</row>
    <row r="203"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</row>
    <row r="204"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</row>
    <row r="205"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</row>
    <row r="206"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</row>
    <row r="207"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</row>
    <row r="208"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</row>
    <row r="209"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</row>
    <row r="210"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</row>
    <row r="211"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</row>
    <row r="212"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</row>
    <row r="213"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</row>
    <row r="214"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</row>
    <row r="215"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</row>
    <row r="216"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</row>
    <row r="217"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</row>
    <row r="218"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</row>
    <row r="219"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</row>
    <row r="220"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</row>
    <row r="221"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</row>
    <row r="222"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</row>
    <row r="223"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</row>
    <row r="224"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</row>
    <row r="225"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</row>
    <row r="226"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</row>
    <row r="227"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</row>
    <row r="228"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</row>
    <row r="229"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</row>
    <row r="230"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</row>
    <row r="231"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</row>
    <row r="232"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</row>
    <row r="233"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</row>
    <row r="234"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</row>
    <row r="235"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</row>
    <row r="236"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</row>
    <row r="237"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</row>
    <row r="238"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</row>
    <row r="239"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</row>
    <row r="240"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</row>
    <row r="241"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</row>
    <row r="242"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</row>
    <row r="243"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</row>
    <row r="244"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</row>
    <row r="245"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</row>
    <row r="246"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</row>
    <row r="247"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</row>
    <row r="248"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</row>
    <row r="249"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</row>
    <row r="250"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</row>
    <row r="251"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</row>
    <row r="252"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</row>
    <row r="253"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</row>
    <row r="254"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</row>
    <row r="255"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</row>
    <row r="256"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</row>
    <row r="257"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</row>
    <row r="258"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</row>
    <row r="259"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</row>
    <row r="260"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</row>
    <row r="261"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</row>
    <row r="262"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</row>
    <row r="263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</row>
    <row r="264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</row>
    <row r="26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</row>
    <row r="266"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</row>
    <row r="267"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</row>
    <row r="268"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</row>
    <row r="269"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</row>
    <row r="270"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</row>
    <row r="271"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</row>
    <row r="272"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</row>
    <row r="273"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</row>
    <row r="274"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</row>
    <row r="275"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</row>
    <row r="276"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</row>
    <row r="277"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</row>
    <row r="278"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</row>
    <row r="279"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</row>
    <row r="280"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</row>
    <row r="281"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</row>
    <row r="282"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</row>
    <row r="283"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</row>
    <row r="284"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</row>
    <row r="285"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</row>
    <row r="286"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</row>
    <row r="287"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</row>
    <row r="288"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</row>
    <row r="289"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</row>
    <row r="290"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</row>
    <row r="291"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</row>
    <row r="292"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</row>
    <row r="293"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</row>
    <row r="294"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</row>
    <row r="295"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</row>
    <row r="296"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</row>
    <row r="297"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</row>
    <row r="298"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</row>
    <row r="299"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</row>
    <row r="300"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</row>
    <row r="301"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</row>
    <row r="302"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</row>
    <row r="303"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</row>
    <row r="304"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</row>
    <row r="305"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</row>
    <row r="306"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</row>
    <row r="307"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</row>
    <row r="308"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</row>
    <row r="309"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</row>
    <row r="310"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</row>
    <row r="311"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</row>
    <row r="312"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</row>
    <row r="313"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</row>
    <row r="314"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</row>
    <row r="315"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</row>
    <row r="316"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</row>
    <row r="317"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</row>
    <row r="318"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</row>
    <row r="319"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</row>
    <row r="320"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</row>
    <row r="321"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</row>
    <row r="322"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</row>
    <row r="323"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</row>
    <row r="324"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</row>
    <row r="325"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</row>
    <row r="326"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</row>
    <row r="327"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</row>
    <row r="328"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</row>
    <row r="329"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</row>
    <row r="330"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</row>
    <row r="331"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</row>
    <row r="332"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</row>
    <row r="333"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</row>
    <row r="334"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</row>
    <row r="335"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</row>
    <row r="336"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</row>
    <row r="337"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</row>
    <row r="338"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</row>
    <row r="339"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</row>
    <row r="340"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</row>
    <row r="341"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</row>
    <row r="342"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</row>
    <row r="343"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</row>
    <row r="344"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</row>
    <row r="345"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</row>
    <row r="346"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</row>
    <row r="347"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</row>
    <row r="348"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</row>
    <row r="349"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</row>
    <row r="350"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</row>
    <row r="351"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</row>
    <row r="352"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</row>
    <row r="353"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</row>
    <row r="354"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</row>
    <row r="355"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</row>
    <row r="356"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</row>
    <row r="357"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</row>
    <row r="358"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</row>
    <row r="359"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</row>
    <row r="360"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</row>
    <row r="361"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</row>
    <row r="362"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</row>
    <row r="363"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</row>
    <row r="364"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</row>
    <row r="365"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</row>
    <row r="366"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</row>
    <row r="367"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</row>
    <row r="368"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</row>
    <row r="369"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</row>
    <row r="370"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</row>
    <row r="371"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</row>
    <row r="372"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</row>
    <row r="373"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</row>
    <row r="374"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</row>
    <row r="375"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</row>
    <row r="376"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</row>
    <row r="377"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</row>
    <row r="378"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</row>
    <row r="379"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</row>
    <row r="380"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</row>
    <row r="381"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</row>
    <row r="382"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</row>
    <row r="383"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</row>
    <row r="384"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</row>
    <row r="385"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</row>
    <row r="386"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</row>
    <row r="387"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</row>
    <row r="388"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</row>
    <row r="389"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</row>
    <row r="390"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</row>
    <row r="391"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</row>
    <row r="392"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</row>
    <row r="393"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</row>
    <row r="394"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</row>
    <row r="395"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</row>
    <row r="396"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</row>
    <row r="397"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</row>
    <row r="398"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</row>
    <row r="399"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</row>
    <row r="400"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</row>
    <row r="401"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</row>
    <row r="402"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</row>
    <row r="403"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</row>
    <row r="404"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</row>
    <row r="405"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</row>
    <row r="406"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</row>
    <row r="407"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</row>
    <row r="408"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</row>
    <row r="409"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</row>
    <row r="410"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</row>
    <row r="411"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</row>
    <row r="412"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</row>
    <row r="413"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</row>
    <row r="414"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</row>
    <row r="415"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</row>
    <row r="416"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</row>
    <row r="417"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</row>
    <row r="418"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</row>
    <row r="419"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</row>
    <row r="420"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</row>
    <row r="421"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</row>
    <row r="422"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</row>
    <row r="423"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</row>
    <row r="424"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</row>
    <row r="425"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</row>
    <row r="426"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</row>
    <row r="427"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</row>
    <row r="428"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</row>
    <row r="429"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</row>
    <row r="430"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</row>
    <row r="431"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</row>
    <row r="432"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</row>
    <row r="433"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</row>
    <row r="434"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</row>
    <row r="435"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</row>
    <row r="436"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</row>
    <row r="437"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</row>
    <row r="438"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</row>
    <row r="439"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</row>
    <row r="440"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</row>
    <row r="441"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</row>
    <row r="442"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</row>
    <row r="443"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</row>
    <row r="444"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</row>
    <row r="445"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</row>
    <row r="446"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</row>
    <row r="447"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</row>
    <row r="448"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</row>
    <row r="449"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</row>
    <row r="450"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</row>
    <row r="451"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</row>
    <row r="452"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</row>
    <row r="453"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</row>
    <row r="454"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</row>
    <row r="455"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</row>
    <row r="456"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</row>
    <row r="457"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</row>
    <row r="458"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</row>
    <row r="459"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</row>
    <row r="460"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</row>
    <row r="461"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</row>
    <row r="462"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</row>
    <row r="463"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</row>
    <row r="464"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</row>
    <row r="465"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</row>
    <row r="466"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</row>
    <row r="467"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</row>
    <row r="468"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</row>
    <row r="469"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</row>
    <row r="470"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</row>
    <row r="471"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</row>
    <row r="472"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</row>
    <row r="473"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</row>
    <row r="474"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</row>
    <row r="475"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</row>
    <row r="476"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</row>
    <row r="477"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</row>
    <row r="478"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</row>
    <row r="479"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</row>
    <row r="480"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</row>
    <row r="481"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</row>
    <row r="482"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</row>
    <row r="483"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</row>
    <row r="484"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</row>
    <row r="485"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</row>
    <row r="486"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</row>
    <row r="487"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</row>
    <row r="488"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</row>
    <row r="489"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</row>
    <row r="490"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</row>
    <row r="491"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</row>
    <row r="492"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</row>
    <row r="493"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</row>
    <row r="494"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</row>
    <row r="495"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</row>
    <row r="496"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</row>
    <row r="497"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</row>
    <row r="498"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</row>
    <row r="499"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</row>
    <row r="500"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</row>
    <row r="501"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</row>
    <row r="502"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</row>
    <row r="503"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</row>
    <row r="504"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</row>
    <row r="505"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</row>
    <row r="506"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</row>
    <row r="507"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</row>
    <row r="508"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</row>
    <row r="509"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</row>
    <row r="510"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</row>
    <row r="511"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</row>
    <row r="512"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</row>
    <row r="513"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</row>
    <row r="514"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</row>
    <row r="515"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</row>
    <row r="516"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</row>
    <row r="517"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</row>
    <row r="518"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</row>
    <row r="519"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</row>
    <row r="520"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</row>
    <row r="521"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</row>
    <row r="522"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</row>
    <row r="523"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</row>
    <row r="524"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</row>
    <row r="525"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</row>
    <row r="526"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</row>
    <row r="527"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</row>
    <row r="528"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</row>
    <row r="529"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</row>
    <row r="530"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</row>
    <row r="531"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</row>
    <row r="532"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</row>
    <row r="533"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</row>
    <row r="534"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</row>
    <row r="535"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</row>
    <row r="536"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</row>
    <row r="537"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</row>
    <row r="538"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</row>
    <row r="539"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</row>
    <row r="540"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</row>
    <row r="541"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</row>
    <row r="542"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</row>
    <row r="543"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</row>
    <row r="544"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</row>
    <row r="545"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</row>
    <row r="546"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</row>
    <row r="547"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</row>
    <row r="548"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</row>
    <row r="549"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</row>
    <row r="550"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</row>
    <row r="551"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</row>
    <row r="552"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</row>
    <row r="553"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</row>
    <row r="554"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</row>
    <row r="555"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</row>
    <row r="556"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</row>
    <row r="557"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</row>
    <row r="558"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</row>
    <row r="559"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</row>
    <row r="560"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</row>
    <row r="561"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</row>
    <row r="562"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</row>
    <row r="563"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</row>
    <row r="564"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</row>
    <row r="565"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</row>
    <row r="566"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</row>
    <row r="567"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</row>
    <row r="568"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</row>
    <row r="569"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</row>
    <row r="570"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</row>
    <row r="571"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</row>
    <row r="572"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</row>
    <row r="573"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</row>
    <row r="574"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</row>
    <row r="575"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</row>
    <row r="576"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</row>
    <row r="577"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</row>
    <row r="578"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</row>
    <row r="579"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</row>
    <row r="580"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</row>
    <row r="581"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</row>
    <row r="582"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</row>
    <row r="583"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</row>
    <row r="584"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</row>
    <row r="585"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</row>
    <row r="586"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</row>
    <row r="587"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</row>
    <row r="588"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</row>
    <row r="589"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</row>
    <row r="590"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</row>
    <row r="591"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</row>
    <row r="592"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</row>
    <row r="593"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</row>
    <row r="594"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</row>
    <row r="595"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</row>
    <row r="596"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</row>
    <row r="597"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</row>
    <row r="598"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</row>
    <row r="599"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</row>
    <row r="600"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</row>
    <row r="601"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</row>
    <row r="602"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</row>
    <row r="603"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</row>
    <row r="604"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</row>
    <row r="605"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</row>
    <row r="606"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</row>
    <row r="607"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</row>
    <row r="608"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</row>
    <row r="609"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</row>
    <row r="610"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</row>
    <row r="611"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</row>
    <row r="612"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</row>
    <row r="613"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</row>
    <row r="614"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</row>
    <row r="615"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</row>
    <row r="616"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</row>
    <row r="617"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</row>
    <row r="618"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</row>
    <row r="619"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</row>
    <row r="620"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</row>
    <row r="621"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</row>
    <row r="622"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</row>
    <row r="623"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</row>
    <row r="624"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</row>
    <row r="625"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</row>
    <row r="626"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</row>
    <row r="627"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</row>
    <row r="628"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</row>
    <row r="629"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</row>
    <row r="630"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</row>
    <row r="631"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</row>
    <row r="632"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</row>
    <row r="633"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</row>
    <row r="634"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</row>
    <row r="635"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</row>
    <row r="636"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</row>
    <row r="637"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</row>
    <row r="638"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</row>
    <row r="639"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</row>
    <row r="640"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</row>
    <row r="641"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</row>
    <row r="642"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</row>
    <row r="643"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</row>
    <row r="644"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</row>
    <row r="645"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</row>
    <row r="646"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</row>
    <row r="647"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</row>
    <row r="648"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</row>
    <row r="649"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</row>
    <row r="650"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</row>
    <row r="651"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</row>
    <row r="652"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</row>
    <row r="653"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</row>
    <row r="654"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</row>
    <row r="655"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</row>
    <row r="656"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</row>
    <row r="657"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</row>
    <row r="658"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</row>
    <row r="659"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</row>
    <row r="660"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</row>
    <row r="661"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</row>
    <row r="662"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</row>
    <row r="663"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</row>
    <row r="664"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</row>
    <row r="665"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</row>
    <row r="666"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</row>
    <row r="667"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</row>
    <row r="668"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</row>
    <row r="669"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</row>
    <row r="670"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</row>
    <row r="671"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</row>
    <row r="672"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</row>
    <row r="673"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</row>
    <row r="674"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</row>
    <row r="675"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</row>
    <row r="676"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</row>
    <row r="677"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</row>
    <row r="678"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</row>
    <row r="679"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</row>
    <row r="680"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</row>
    <row r="681"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</row>
    <row r="682"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</row>
    <row r="683"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</row>
    <row r="684"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</row>
    <row r="685"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</row>
    <row r="686"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</row>
    <row r="687"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</row>
    <row r="688"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</row>
    <row r="689"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</row>
    <row r="690"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</row>
    <row r="691"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</row>
    <row r="692"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</row>
    <row r="693"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</row>
    <row r="694"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</row>
    <row r="695"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</row>
    <row r="696"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</row>
    <row r="697"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</row>
    <row r="698"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</row>
    <row r="699"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</row>
    <row r="700"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</row>
    <row r="701"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</row>
    <row r="702"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</row>
    <row r="703"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</row>
    <row r="704"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</row>
    <row r="705"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</row>
    <row r="706"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</row>
    <row r="707"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</row>
    <row r="708"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</row>
    <row r="709"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</row>
    <row r="710"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</row>
    <row r="711"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</row>
    <row r="712"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</row>
    <row r="713"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</row>
    <row r="714"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</row>
    <row r="715"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</row>
    <row r="716"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</row>
    <row r="717"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</row>
    <row r="718"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</row>
    <row r="719"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</row>
    <row r="720"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</row>
    <row r="721"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</row>
    <row r="722"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</row>
    <row r="723"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</row>
    <row r="724"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</row>
    <row r="725"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</row>
    <row r="726"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</row>
    <row r="727"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</row>
    <row r="728"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</row>
    <row r="729"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</row>
    <row r="730"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</row>
    <row r="731"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</row>
    <row r="732"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</row>
    <row r="733"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</row>
    <row r="734"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</row>
    <row r="735"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</row>
    <row r="736"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</row>
    <row r="737"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</row>
    <row r="738"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</row>
    <row r="739"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</row>
    <row r="740"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</row>
    <row r="741"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</row>
    <row r="742"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</row>
    <row r="743"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</row>
    <row r="744"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</row>
    <row r="745"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</row>
    <row r="746"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</row>
    <row r="747"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</row>
    <row r="748"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</row>
    <row r="749"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</row>
    <row r="750"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</row>
    <row r="751"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</row>
    <row r="752"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</row>
    <row r="753"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</row>
    <row r="754"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</row>
    <row r="755"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</row>
    <row r="756"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</row>
    <row r="757"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</row>
    <row r="758"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</row>
    <row r="759"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</row>
    <row r="760"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</row>
    <row r="761"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</row>
    <row r="762"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</row>
    <row r="763"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</row>
    <row r="764"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</row>
    <row r="765"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</row>
    <row r="766"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</row>
    <row r="767"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</row>
    <row r="768"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</row>
    <row r="769"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</row>
    <row r="770"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</row>
    <row r="771"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</row>
    <row r="772"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</row>
    <row r="773"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</row>
    <row r="774"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</row>
    <row r="775"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</row>
    <row r="776"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</row>
    <row r="777"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</row>
    <row r="778"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</row>
    <row r="779"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</row>
    <row r="780"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</row>
    <row r="781"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</row>
    <row r="782"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</row>
    <row r="783"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</row>
    <row r="784"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</row>
    <row r="785"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</row>
    <row r="786"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</row>
    <row r="787"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</row>
    <row r="788"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</row>
    <row r="789"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</row>
    <row r="790"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</row>
    <row r="791"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</row>
    <row r="792"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</row>
    <row r="793"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</row>
    <row r="794"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</row>
    <row r="795"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</row>
    <row r="796"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</row>
    <row r="797"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</row>
    <row r="798"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</row>
    <row r="799"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</row>
    <row r="800"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</row>
    <row r="801"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</row>
    <row r="802"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</row>
    <row r="803"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</row>
    <row r="804"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</row>
    <row r="805"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</row>
    <row r="806"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</row>
    <row r="807"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</row>
    <row r="808"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</row>
    <row r="809"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</row>
    <row r="810"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</row>
    <row r="811"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</row>
    <row r="812"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</row>
    <row r="813"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</row>
    <row r="814"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</row>
    <row r="815"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</row>
    <row r="816"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</row>
    <row r="817"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</row>
    <row r="818"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</row>
    <row r="819"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</row>
    <row r="820"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</row>
    <row r="821"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</row>
    <row r="822"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</row>
    <row r="823"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</row>
    <row r="824"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</row>
    <row r="825"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</row>
    <row r="826"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</row>
    <row r="827"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</row>
    <row r="828"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</row>
    <row r="829"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</row>
    <row r="830"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</row>
    <row r="831"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</row>
    <row r="832"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</row>
    <row r="833"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</row>
    <row r="834"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</row>
    <row r="835"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</row>
    <row r="836"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</row>
    <row r="837"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</row>
    <row r="838"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</row>
    <row r="839"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</row>
    <row r="840"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</row>
    <row r="841"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</row>
    <row r="842"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</row>
    <row r="843"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</row>
    <row r="844"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</row>
    <row r="845"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</row>
    <row r="846"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</row>
    <row r="847"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</row>
    <row r="848"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</row>
    <row r="849"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</row>
    <row r="850"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</row>
    <row r="851"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</row>
    <row r="852"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</row>
    <row r="853"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</row>
    <row r="854"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</row>
    <row r="855"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</row>
    <row r="856"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</row>
    <row r="857"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</row>
    <row r="858"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</row>
    <row r="859"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</row>
    <row r="860"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</row>
    <row r="861"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</row>
    <row r="862"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</row>
    <row r="863"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</row>
    <row r="864"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</row>
    <row r="865"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</row>
    <row r="866"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</row>
    <row r="867"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</row>
    <row r="868"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</row>
    <row r="869"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</row>
    <row r="870"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</row>
    <row r="871"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</row>
    <row r="872"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</row>
    <row r="873"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</row>
    <row r="874"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</row>
    <row r="875"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</row>
    <row r="876"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</row>
    <row r="877"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</row>
    <row r="878"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</row>
    <row r="879"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</row>
    <row r="880"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</row>
    <row r="881"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</row>
    <row r="882"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</row>
    <row r="883"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</row>
    <row r="884"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</row>
    <row r="885"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</row>
    <row r="886"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</row>
    <row r="887"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</row>
    <row r="888"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</row>
    <row r="889"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</row>
    <row r="890"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</row>
    <row r="891"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</row>
    <row r="892"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</row>
    <row r="893"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</row>
    <row r="894"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</row>
    <row r="895"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</row>
    <row r="896"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</row>
    <row r="897"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</row>
    <row r="898"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</row>
    <row r="899"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</row>
    <row r="900"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</row>
    <row r="901"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</row>
    <row r="902"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</row>
    <row r="903"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</row>
    <row r="904"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</row>
    <row r="905"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</row>
    <row r="906"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</row>
    <row r="907"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</row>
    <row r="908"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</row>
    <row r="909"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</row>
    <row r="910"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</row>
    <row r="911"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</row>
    <row r="912"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</row>
  </sheetData>
  <autoFilter ref="$A$1:$AC$91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showGridLines="0" workbookViewId="0"/>
  </sheetViews>
  <sheetFormatPr customHeight="1" defaultColWidth="12.63" defaultRowHeight="15.75"/>
  <cols>
    <col customWidth="1" min="3" max="3" width="2.13"/>
    <col customWidth="1" min="4" max="4" width="4.63"/>
  </cols>
  <sheetData>
    <row r="1">
      <c r="A1" s="535" t="s">
        <v>970</v>
      </c>
      <c r="B1" s="536"/>
      <c r="C1" s="320"/>
      <c r="D1" s="537" t="s">
        <v>971</v>
      </c>
      <c r="E1" s="538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</row>
    <row r="2">
      <c r="A2" s="539"/>
      <c r="B2" s="540" t="s">
        <v>972</v>
      </c>
      <c r="C2" s="320"/>
      <c r="D2" s="541"/>
      <c r="E2" s="542" t="s">
        <v>973</v>
      </c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</row>
    <row r="3">
      <c r="A3" s="543" t="s">
        <v>974</v>
      </c>
      <c r="B3" s="458">
        <v>4159070.558983874</v>
      </c>
      <c r="C3" s="320"/>
      <c r="D3" s="544"/>
      <c r="E3" s="545" t="s">
        <v>975</v>
      </c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</row>
    <row r="4">
      <c r="A4" s="320"/>
      <c r="B4" s="546"/>
      <c r="C4" s="320"/>
      <c r="D4" s="320"/>
      <c r="E4" s="320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</row>
    <row r="5">
      <c r="A5" s="543" t="s">
        <v>976</v>
      </c>
      <c r="B5" s="546"/>
      <c r="C5" s="320"/>
      <c r="D5" s="320"/>
      <c r="E5" s="320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</row>
    <row r="6">
      <c r="A6" s="547" t="s">
        <v>977</v>
      </c>
      <c r="B6" s="451">
        <v>300000.0</v>
      </c>
      <c r="C6" s="320"/>
      <c r="D6" s="320"/>
      <c r="E6" s="320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</row>
    <row r="7">
      <c r="A7" s="547" t="s">
        <v>978</v>
      </c>
      <c r="B7" s="451">
        <v>227500.0</v>
      </c>
      <c r="C7" s="320"/>
      <c r="D7" s="320"/>
      <c r="E7" s="320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</row>
    <row r="8">
      <c r="A8" s="547" t="s">
        <v>979</v>
      </c>
      <c r="B8" s="451">
        <v>100000.0</v>
      </c>
      <c r="C8" s="320"/>
      <c r="D8" s="320"/>
      <c r="E8" s="320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</row>
    <row r="9">
      <c r="A9" s="548" t="s">
        <v>980</v>
      </c>
      <c r="B9" s="457">
        <f>525471.68-37000-8000-161000-212500-100000</f>
        <v>6971.68</v>
      </c>
      <c r="C9" s="320"/>
      <c r="D9" s="320"/>
      <c r="E9" s="320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</row>
    <row r="10">
      <c r="A10" s="543" t="s">
        <v>976</v>
      </c>
      <c r="B10" s="458">
        <f>sum(B6:B9)</f>
        <v>634471.68</v>
      </c>
      <c r="C10" s="320"/>
      <c r="D10" s="320"/>
      <c r="E10" s="320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</row>
    <row r="11">
      <c r="A11" s="320"/>
      <c r="B11" s="546"/>
      <c r="C11" s="320"/>
      <c r="D11" s="320"/>
      <c r="E11" s="320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</row>
    <row r="12">
      <c r="A12" s="543" t="s">
        <v>981</v>
      </c>
      <c r="B12" s="546"/>
      <c r="C12" s="320"/>
      <c r="D12" s="320"/>
      <c r="E12" s="320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</row>
    <row r="13">
      <c r="A13" s="547" t="s">
        <v>982</v>
      </c>
      <c r="B13" s="451">
        <f>367772++73511.06</f>
        <v>441283.06</v>
      </c>
      <c r="C13" s="320"/>
      <c r="D13" s="320"/>
      <c r="E13" s="549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</row>
    <row r="14">
      <c r="A14" s="547" t="s">
        <v>983</v>
      </c>
      <c r="B14" s="451">
        <f>26658++7219.91</f>
        <v>33877.91</v>
      </c>
      <c r="C14" s="320"/>
      <c r="D14" s="320"/>
      <c r="E14" s="549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</row>
    <row r="15">
      <c r="A15" s="547" t="s">
        <v>984</v>
      </c>
      <c r="B15" s="451">
        <f>10000+7990.51</f>
        <v>17990.51</v>
      </c>
      <c r="C15" s="320"/>
      <c r="D15" s="320"/>
      <c r="E15" s="549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</row>
    <row r="16">
      <c r="A16" s="547"/>
      <c r="B16" s="546"/>
      <c r="C16" s="320"/>
      <c r="D16" s="320"/>
      <c r="E16" s="320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</row>
    <row r="17">
      <c r="A17" s="547" t="s">
        <v>985</v>
      </c>
      <c r="B17" s="451">
        <v>326253.0</v>
      </c>
      <c r="C17" s="320"/>
      <c r="D17" s="320"/>
      <c r="E17" s="320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</row>
    <row r="18">
      <c r="A18" s="548" t="s">
        <v>986</v>
      </c>
      <c r="B18" s="546">
        <f>1782452.2</f>
        <v>1782452.2</v>
      </c>
      <c r="C18" s="320"/>
      <c r="D18" s="542"/>
      <c r="E18" s="550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</row>
    <row r="19">
      <c r="A19" s="547"/>
      <c r="B19" s="546"/>
      <c r="C19" s="320"/>
      <c r="D19" s="320"/>
      <c r="E19" s="320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</row>
    <row r="20">
      <c r="A20" s="547" t="s">
        <v>987</v>
      </c>
      <c r="B20" s="546">
        <v>95313.0</v>
      </c>
      <c r="C20" s="320"/>
      <c r="D20" s="320"/>
      <c r="E20" s="320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</row>
    <row r="21">
      <c r="A21" s="547" t="s">
        <v>988</v>
      </c>
      <c r="B21" s="546">
        <f>392891.84+386752</f>
        <v>779643.84</v>
      </c>
      <c r="C21" s="320"/>
      <c r="D21" s="323" t="s">
        <v>989</v>
      </c>
      <c r="E21" s="320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</row>
    <row r="22">
      <c r="A22" s="547" t="s">
        <v>990</v>
      </c>
      <c r="B22" s="451">
        <v>2205.01</v>
      </c>
      <c r="C22" s="320"/>
      <c r="D22" s="551">
        <v>2205.0</v>
      </c>
      <c r="E22" s="320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</row>
    <row r="23">
      <c r="A23" s="547" t="s">
        <v>991</v>
      </c>
      <c r="B23" s="451">
        <v>136540.0</v>
      </c>
      <c r="D23" s="41" t="s">
        <v>992</v>
      </c>
      <c r="E23" s="478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</row>
    <row r="24">
      <c r="A24" s="547" t="s">
        <v>993</v>
      </c>
      <c r="B24" s="457">
        <f>6865.45*2</f>
        <v>13730.9</v>
      </c>
      <c r="C24" s="320"/>
      <c r="D24" s="320"/>
      <c r="E24" s="320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  <c r="U24" s="434"/>
    </row>
    <row r="25">
      <c r="A25" s="543" t="s">
        <v>981</v>
      </c>
      <c r="B25" s="458">
        <f>sum(B13:B24)</f>
        <v>3629289.43</v>
      </c>
      <c r="C25" s="552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</row>
    <row r="26">
      <c r="A26" s="320"/>
      <c r="B26" s="546"/>
      <c r="C26" s="552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</row>
    <row r="27">
      <c r="A27" s="543" t="s">
        <v>994</v>
      </c>
      <c r="B27" s="458">
        <f>B3+B10+B25</f>
        <v>8422831.669</v>
      </c>
      <c r="C27" s="552"/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</row>
    <row r="28">
      <c r="A28" s="434"/>
      <c r="B28" s="434"/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</row>
    <row r="29">
      <c r="A29" s="434"/>
      <c r="B29" s="434"/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</row>
    <row r="30">
      <c r="A30" s="434"/>
      <c r="B30" s="434"/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</row>
    <row r="31">
      <c r="A31" s="434"/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</row>
    <row r="32">
      <c r="A32" s="434"/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</row>
    <row r="33">
      <c r="A33" s="434"/>
      <c r="B33" s="434"/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</row>
    <row r="34">
      <c r="A34" s="434"/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</row>
    <row r="35">
      <c r="A35" s="434"/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</row>
    <row r="36">
      <c r="A36" s="434"/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</row>
    <row r="37">
      <c r="A37" s="434"/>
      <c r="B37" s="434"/>
      <c r="C37" s="434"/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  <c r="S37" s="434"/>
      <c r="T37" s="434"/>
      <c r="U37" s="434"/>
    </row>
    <row r="38">
      <c r="A38" s="434"/>
      <c r="B38" s="434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34"/>
    </row>
    <row r="39">
      <c r="A39" s="434"/>
      <c r="B39" s="434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</row>
    <row r="40">
      <c r="A40" s="434"/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</row>
    <row r="41">
      <c r="A41" s="434"/>
      <c r="B41" s="434"/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</row>
    <row r="42">
      <c r="A42" s="434"/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</row>
    <row r="43">
      <c r="A43" s="434"/>
      <c r="B43" s="434"/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</row>
    <row r="44">
      <c r="A44" s="434"/>
      <c r="B44" s="434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</row>
    <row r="45">
      <c r="A45" s="434"/>
      <c r="B45" s="434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</row>
    <row r="46">
      <c r="A46" s="434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</row>
    <row r="47">
      <c r="A47" s="434"/>
      <c r="B47" s="434"/>
      <c r="C47" s="434"/>
      <c r="D47" s="434"/>
      <c r="E47" s="434"/>
      <c r="F47" s="434"/>
      <c r="G47" s="434"/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4"/>
      <c r="U47" s="434"/>
    </row>
    <row r="48">
      <c r="A48" s="434"/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</row>
    <row r="49">
      <c r="A49" s="434"/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</row>
    <row r="50">
      <c r="A50" s="434"/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</row>
    <row r="51">
      <c r="A51" s="434"/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</row>
    <row r="52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</row>
    <row r="53">
      <c r="A53" s="434"/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</row>
    <row r="54">
      <c r="A54" s="434"/>
      <c r="B54" s="434"/>
      <c r="C54" s="434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</row>
    <row r="55">
      <c r="A55" s="434"/>
      <c r="B55" s="434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</row>
    <row r="56">
      <c r="A56" s="434"/>
      <c r="B56" s="434"/>
      <c r="C56" s="434"/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</row>
    <row r="57">
      <c r="A57" s="434"/>
      <c r="B57" s="434"/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</row>
    <row r="58">
      <c r="A58" s="434"/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</row>
    <row r="59">
      <c r="A59" s="434"/>
      <c r="B59" s="434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</row>
    <row r="60">
      <c r="A60" s="434"/>
      <c r="B60" s="434"/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</row>
    <row r="61">
      <c r="A61" s="434"/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</row>
    <row r="62">
      <c r="A62" s="434"/>
      <c r="B62" s="434"/>
      <c r="C62" s="434"/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4"/>
    </row>
    <row r="63">
      <c r="A63" s="434"/>
      <c r="B63" s="434"/>
      <c r="C63" s="434"/>
      <c r="D63" s="434"/>
      <c r="E63" s="434"/>
      <c r="F63" s="434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4"/>
      <c r="U63" s="434"/>
    </row>
    <row r="64">
      <c r="A64" s="434"/>
      <c r="B64" s="434"/>
      <c r="C64" s="434"/>
      <c r="D64" s="434"/>
      <c r="E64" s="434"/>
      <c r="F64" s="434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4"/>
    </row>
    <row r="65">
      <c r="A65" s="434"/>
      <c r="B65" s="434"/>
      <c r="C65" s="434"/>
      <c r="D65" s="434"/>
      <c r="E65" s="434"/>
      <c r="F65" s="434"/>
      <c r="G65" s="434"/>
      <c r="H65" s="434"/>
      <c r="I65" s="434"/>
      <c r="J65" s="434"/>
      <c r="K65" s="434"/>
      <c r="L65" s="434"/>
      <c r="M65" s="434"/>
      <c r="N65" s="434"/>
      <c r="O65" s="434"/>
      <c r="P65" s="434"/>
      <c r="Q65" s="434"/>
      <c r="R65" s="434"/>
      <c r="S65" s="434"/>
      <c r="T65" s="434"/>
      <c r="U65" s="434"/>
    </row>
    <row r="66">
      <c r="A66" s="434"/>
      <c r="B66" s="434"/>
      <c r="C66" s="434"/>
      <c r="D66" s="434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  <c r="P66" s="434"/>
      <c r="Q66" s="434"/>
      <c r="R66" s="434"/>
      <c r="S66" s="434"/>
      <c r="T66" s="434"/>
      <c r="U66" s="434"/>
    </row>
    <row r="67">
      <c r="A67" s="434"/>
      <c r="B67" s="434"/>
      <c r="C67" s="434"/>
      <c r="D67" s="434"/>
      <c r="E67" s="434"/>
      <c r="F67" s="434"/>
      <c r="G67" s="434"/>
      <c r="H67" s="434"/>
      <c r="I67" s="434"/>
      <c r="J67" s="434"/>
      <c r="K67" s="434"/>
      <c r="L67" s="434"/>
      <c r="M67" s="434"/>
      <c r="N67" s="434"/>
      <c r="O67" s="434"/>
      <c r="P67" s="434"/>
      <c r="Q67" s="434"/>
      <c r="R67" s="434"/>
      <c r="S67" s="434"/>
      <c r="T67" s="434"/>
      <c r="U67" s="434"/>
    </row>
    <row r="68">
      <c r="A68" s="434"/>
      <c r="B68" s="434"/>
      <c r="C68" s="434"/>
      <c r="D68" s="434"/>
      <c r="E68" s="434"/>
      <c r="F68" s="434"/>
      <c r="G68" s="434"/>
      <c r="H68" s="434"/>
      <c r="I68" s="434"/>
      <c r="J68" s="434"/>
      <c r="K68" s="434"/>
      <c r="L68" s="434"/>
      <c r="M68" s="434"/>
      <c r="N68" s="434"/>
      <c r="O68" s="434"/>
      <c r="P68" s="434"/>
      <c r="Q68" s="434"/>
      <c r="R68" s="434"/>
      <c r="S68" s="434"/>
      <c r="T68" s="434"/>
      <c r="U68" s="434"/>
    </row>
    <row r="69">
      <c r="A69" s="434"/>
      <c r="B69" s="434"/>
      <c r="C69" s="434"/>
      <c r="D69" s="434"/>
      <c r="E69" s="434"/>
      <c r="F69" s="434"/>
      <c r="G69" s="434"/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</row>
    <row r="70">
      <c r="A70" s="434"/>
      <c r="B70" s="434"/>
      <c r="C70" s="434"/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</row>
    <row r="71">
      <c r="A71" s="434"/>
      <c r="B71" s="434"/>
      <c r="C71" s="434"/>
      <c r="D71" s="434"/>
      <c r="E71" s="434"/>
      <c r="F71" s="434"/>
      <c r="G71" s="434"/>
      <c r="H71" s="434"/>
      <c r="I71" s="434"/>
      <c r="J71" s="434"/>
      <c r="K71" s="434"/>
      <c r="L71" s="434"/>
      <c r="M71" s="434"/>
      <c r="N71" s="434"/>
      <c r="O71" s="434"/>
      <c r="P71" s="434"/>
      <c r="Q71" s="434"/>
      <c r="R71" s="434"/>
      <c r="S71" s="434"/>
      <c r="T71" s="434"/>
      <c r="U71" s="434"/>
    </row>
    <row r="72">
      <c r="A72" s="434"/>
      <c r="B72" s="434"/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</row>
    <row r="73">
      <c r="A73" s="434"/>
      <c r="B73" s="434"/>
      <c r="C73" s="434"/>
      <c r="D73" s="434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</row>
    <row r="74">
      <c r="A74" s="434"/>
      <c r="B74" s="434"/>
      <c r="C74" s="434"/>
      <c r="D74" s="434"/>
      <c r="E74" s="434"/>
      <c r="F74" s="434"/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</row>
    <row r="75">
      <c r="A75" s="434"/>
      <c r="B75" s="434"/>
      <c r="C75" s="434"/>
      <c r="D75" s="434"/>
      <c r="E75" s="434"/>
      <c r="F75" s="434"/>
      <c r="G75" s="434"/>
      <c r="H75" s="434"/>
      <c r="I75" s="434"/>
      <c r="J75" s="434"/>
      <c r="K75" s="434"/>
      <c r="L75" s="434"/>
      <c r="M75" s="434"/>
      <c r="N75" s="434"/>
      <c r="O75" s="434"/>
      <c r="P75" s="434"/>
      <c r="Q75" s="434"/>
      <c r="R75" s="434"/>
      <c r="S75" s="434"/>
      <c r="T75" s="434"/>
      <c r="U75" s="434"/>
    </row>
    <row r="76">
      <c r="A76" s="434"/>
      <c r="B76" s="434"/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  <c r="O76" s="434"/>
      <c r="P76" s="434"/>
      <c r="Q76" s="434"/>
      <c r="R76" s="434"/>
      <c r="S76" s="434"/>
      <c r="T76" s="434"/>
      <c r="U76" s="434"/>
    </row>
    <row r="77">
      <c r="A77" s="434"/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  <c r="N77" s="434"/>
      <c r="O77" s="434"/>
      <c r="P77" s="434"/>
      <c r="Q77" s="434"/>
      <c r="R77" s="434"/>
      <c r="S77" s="434"/>
      <c r="T77" s="434"/>
      <c r="U77" s="434"/>
    </row>
    <row r="78">
      <c r="A78" s="434"/>
      <c r="B78" s="434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</row>
    <row r="79">
      <c r="A79" s="434"/>
      <c r="B79" s="434"/>
      <c r="C79" s="434"/>
      <c r="D79" s="434"/>
      <c r="E79" s="434"/>
      <c r="F79" s="434"/>
      <c r="G79" s="434"/>
      <c r="H79" s="434"/>
      <c r="I79" s="434"/>
      <c r="J79" s="434"/>
      <c r="K79" s="434"/>
      <c r="L79" s="434"/>
      <c r="M79" s="434"/>
      <c r="N79" s="434"/>
      <c r="O79" s="434"/>
      <c r="P79" s="434"/>
      <c r="Q79" s="434"/>
      <c r="R79" s="434"/>
      <c r="S79" s="434"/>
      <c r="T79" s="434"/>
      <c r="U79" s="434"/>
    </row>
    <row r="80">
      <c r="A80" s="434"/>
      <c r="B80" s="434"/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</row>
    <row r="81">
      <c r="A81" s="434"/>
      <c r="B81" s="434"/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</row>
    <row r="82">
      <c r="A82" s="434"/>
      <c r="B82" s="434"/>
      <c r="C82" s="434"/>
      <c r="D82" s="434"/>
      <c r="E82" s="434"/>
      <c r="F82" s="434"/>
      <c r="G82" s="434"/>
      <c r="H82" s="434"/>
      <c r="I82" s="434"/>
      <c r="J82" s="434"/>
      <c r="K82" s="434"/>
      <c r="L82" s="434"/>
      <c r="M82" s="434"/>
      <c r="N82" s="434"/>
      <c r="O82" s="434"/>
      <c r="P82" s="434"/>
      <c r="Q82" s="434"/>
      <c r="R82" s="434"/>
      <c r="S82" s="434"/>
      <c r="T82" s="434"/>
      <c r="U82" s="434"/>
    </row>
    <row r="83">
      <c r="A83" s="434"/>
      <c r="B83" s="434"/>
      <c r="C83" s="434"/>
      <c r="D83" s="434"/>
      <c r="E83" s="434"/>
      <c r="F83" s="434"/>
      <c r="G83" s="434"/>
      <c r="H83" s="434"/>
      <c r="I83" s="434"/>
      <c r="J83" s="434"/>
      <c r="K83" s="434"/>
      <c r="L83" s="434"/>
      <c r="M83" s="434"/>
      <c r="N83" s="434"/>
      <c r="O83" s="434"/>
      <c r="P83" s="434"/>
      <c r="Q83" s="434"/>
      <c r="R83" s="434"/>
      <c r="S83" s="434"/>
      <c r="T83" s="434"/>
      <c r="U83" s="434"/>
    </row>
    <row r="84">
      <c r="A84" s="434"/>
      <c r="B84" s="434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  <c r="N84" s="434"/>
      <c r="O84" s="434"/>
      <c r="P84" s="434"/>
      <c r="Q84" s="434"/>
      <c r="R84" s="434"/>
      <c r="S84" s="434"/>
      <c r="T84" s="434"/>
      <c r="U84" s="434"/>
    </row>
    <row r="85">
      <c r="A85" s="434"/>
      <c r="B85" s="434"/>
      <c r="C85" s="434"/>
      <c r="D85" s="434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</row>
    <row r="86">
      <c r="A86" s="434"/>
      <c r="B86" s="434"/>
      <c r="C86" s="434"/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</row>
    <row r="87">
      <c r="A87" s="434"/>
      <c r="B87" s="434"/>
      <c r="C87" s="434"/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</row>
    <row r="88">
      <c r="A88" s="434"/>
      <c r="B88" s="434"/>
      <c r="C88" s="434"/>
      <c r="D88" s="434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</row>
    <row r="89">
      <c r="A89" s="434"/>
      <c r="B89" s="434"/>
      <c r="C89" s="434"/>
      <c r="D89" s="434"/>
      <c r="E89" s="434"/>
      <c r="F89" s="434"/>
      <c r="G89" s="434"/>
      <c r="H89" s="434"/>
      <c r="I89" s="434"/>
      <c r="J89" s="434"/>
      <c r="K89" s="434"/>
      <c r="L89" s="434"/>
      <c r="M89" s="434"/>
      <c r="N89" s="434"/>
      <c r="O89" s="434"/>
      <c r="P89" s="434"/>
      <c r="Q89" s="434"/>
      <c r="R89" s="434"/>
      <c r="S89" s="434"/>
      <c r="T89" s="434"/>
      <c r="U89" s="434"/>
    </row>
    <row r="90">
      <c r="A90" s="434"/>
      <c r="B90" s="434"/>
      <c r="C90" s="434"/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</row>
    <row r="91">
      <c r="A91" s="434"/>
      <c r="B91" s="434"/>
      <c r="C91" s="434"/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</row>
    <row r="92">
      <c r="A92" s="434"/>
      <c r="B92" s="434"/>
      <c r="C92" s="434"/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</row>
    <row r="93">
      <c r="A93" s="434"/>
      <c r="B93" s="434"/>
      <c r="C93" s="434"/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</row>
    <row r="94">
      <c r="A94" s="434"/>
      <c r="B94" s="434"/>
      <c r="C94" s="434"/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</row>
    <row r="95">
      <c r="A95" s="434"/>
      <c r="B95" s="434"/>
      <c r="C95" s="434"/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</row>
    <row r="96">
      <c r="A96" s="434"/>
      <c r="B96" s="434"/>
      <c r="C96" s="434"/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</row>
    <row r="97">
      <c r="A97" s="434"/>
      <c r="B97" s="434"/>
      <c r="C97" s="434"/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</row>
    <row r="98">
      <c r="A98" s="434"/>
      <c r="B98" s="434"/>
      <c r="C98" s="434"/>
      <c r="D98" s="434"/>
      <c r="E98" s="434"/>
      <c r="F98" s="434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</row>
    <row r="99">
      <c r="A99" s="434"/>
      <c r="B99" s="434"/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434"/>
      <c r="N99" s="434"/>
      <c r="O99" s="434"/>
      <c r="P99" s="434"/>
      <c r="Q99" s="434"/>
      <c r="R99" s="434"/>
      <c r="S99" s="434"/>
      <c r="T99" s="434"/>
      <c r="U99" s="434"/>
    </row>
    <row r="100">
      <c r="A100" s="434"/>
      <c r="B100" s="434"/>
      <c r="C100" s="434"/>
      <c r="D100" s="434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  <c r="O100" s="434"/>
      <c r="P100" s="434"/>
      <c r="Q100" s="434"/>
      <c r="R100" s="434"/>
      <c r="S100" s="434"/>
      <c r="T100" s="434"/>
      <c r="U100" s="434"/>
    </row>
    <row r="101">
      <c r="A101" s="434"/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4"/>
      <c r="M101" s="434"/>
      <c r="N101" s="434"/>
      <c r="O101" s="434"/>
      <c r="P101" s="434"/>
      <c r="Q101" s="434"/>
      <c r="R101" s="434"/>
      <c r="S101" s="434"/>
      <c r="T101" s="434"/>
      <c r="U101" s="434"/>
    </row>
    <row r="102">
      <c r="A102" s="434"/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34"/>
      <c r="P102" s="434"/>
      <c r="Q102" s="434"/>
      <c r="R102" s="434"/>
      <c r="S102" s="434"/>
      <c r="T102" s="434"/>
      <c r="U102" s="434"/>
    </row>
    <row r="103">
      <c r="A103" s="434"/>
      <c r="B103" s="434"/>
      <c r="C103" s="434"/>
      <c r="D103" s="434"/>
      <c r="E103" s="434"/>
      <c r="F103" s="434"/>
      <c r="G103" s="434"/>
      <c r="H103" s="434"/>
      <c r="I103" s="434"/>
      <c r="J103" s="434"/>
      <c r="K103" s="434"/>
      <c r="L103" s="434"/>
      <c r="M103" s="434"/>
      <c r="N103" s="434"/>
      <c r="O103" s="434"/>
      <c r="P103" s="434"/>
      <c r="Q103" s="434"/>
      <c r="R103" s="434"/>
      <c r="S103" s="434"/>
      <c r="T103" s="434"/>
      <c r="U103" s="434"/>
    </row>
    <row r="104">
      <c r="A104" s="434"/>
      <c r="B104" s="434"/>
      <c r="C104" s="434"/>
      <c r="D104" s="434"/>
      <c r="E104" s="434"/>
      <c r="F104" s="434"/>
      <c r="G104" s="434"/>
      <c r="H104" s="434"/>
      <c r="I104" s="434"/>
      <c r="J104" s="434"/>
      <c r="K104" s="434"/>
      <c r="L104" s="434"/>
      <c r="M104" s="434"/>
      <c r="N104" s="434"/>
      <c r="O104" s="434"/>
      <c r="P104" s="434"/>
      <c r="Q104" s="434"/>
      <c r="R104" s="434"/>
      <c r="S104" s="434"/>
      <c r="T104" s="434"/>
      <c r="U104" s="434"/>
    </row>
    <row r="105">
      <c r="A105" s="434"/>
      <c r="B105" s="434"/>
      <c r="C105" s="434"/>
      <c r="D105" s="434"/>
      <c r="E105" s="434"/>
      <c r="F105" s="434"/>
      <c r="G105" s="434"/>
      <c r="H105" s="434"/>
      <c r="I105" s="434"/>
      <c r="J105" s="434"/>
      <c r="K105" s="434"/>
      <c r="L105" s="434"/>
      <c r="M105" s="434"/>
      <c r="N105" s="434"/>
      <c r="O105" s="434"/>
      <c r="P105" s="434"/>
      <c r="Q105" s="434"/>
      <c r="R105" s="434"/>
      <c r="S105" s="434"/>
      <c r="T105" s="434"/>
      <c r="U105" s="434"/>
    </row>
    <row r="106">
      <c r="A106" s="434"/>
      <c r="B106" s="434"/>
      <c r="C106" s="434"/>
      <c r="D106" s="434"/>
      <c r="E106" s="434"/>
      <c r="F106" s="434"/>
      <c r="G106" s="434"/>
      <c r="H106" s="434"/>
      <c r="I106" s="434"/>
      <c r="J106" s="434"/>
      <c r="K106" s="434"/>
      <c r="L106" s="434"/>
      <c r="M106" s="434"/>
      <c r="N106" s="434"/>
      <c r="O106" s="434"/>
      <c r="P106" s="434"/>
      <c r="Q106" s="434"/>
      <c r="R106" s="434"/>
      <c r="S106" s="434"/>
      <c r="T106" s="434"/>
      <c r="U106" s="434"/>
    </row>
    <row r="107">
      <c r="A107" s="434"/>
      <c r="B107" s="434"/>
      <c r="C107" s="434"/>
      <c r="D107" s="434"/>
      <c r="E107" s="434"/>
      <c r="F107" s="434"/>
      <c r="G107" s="434"/>
      <c r="H107" s="434"/>
      <c r="I107" s="434"/>
      <c r="J107" s="434"/>
      <c r="K107" s="434"/>
      <c r="L107" s="434"/>
      <c r="M107" s="434"/>
      <c r="N107" s="434"/>
      <c r="O107" s="434"/>
      <c r="P107" s="434"/>
      <c r="Q107" s="434"/>
      <c r="R107" s="434"/>
      <c r="S107" s="434"/>
      <c r="T107" s="434"/>
      <c r="U107" s="434"/>
    </row>
    <row r="108">
      <c r="A108" s="434"/>
      <c r="B108" s="434"/>
      <c r="C108" s="434"/>
      <c r="D108" s="434"/>
      <c r="E108" s="434"/>
      <c r="F108" s="434"/>
      <c r="G108" s="434"/>
      <c r="H108" s="434"/>
      <c r="I108" s="434"/>
      <c r="J108" s="434"/>
      <c r="K108" s="434"/>
      <c r="L108" s="434"/>
      <c r="M108" s="434"/>
      <c r="N108" s="434"/>
      <c r="O108" s="434"/>
      <c r="P108" s="434"/>
      <c r="Q108" s="434"/>
      <c r="R108" s="434"/>
      <c r="S108" s="434"/>
      <c r="T108" s="434"/>
      <c r="U108" s="434"/>
    </row>
    <row r="109">
      <c r="A109" s="434"/>
      <c r="B109" s="434"/>
      <c r="C109" s="434"/>
      <c r="D109" s="434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</row>
    <row r="110">
      <c r="A110" s="434"/>
      <c r="B110" s="434"/>
      <c r="C110" s="434"/>
      <c r="D110" s="434"/>
      <c r="E110" s="434"/>
      <c r="F110" s="434"/>
      <c r="G110" s="434"/>
      <c r="H110" s="434"/>
      <c r="I110" s="434"/>
      <c r="J110" s="434"/>
      <c r="K110" s="434"/>
      <c r="L110" s="434"/>
      <c r="M110" s="434"/>
      <c r="N110" s="434"/>
      <c r="O110" s="434"/>
      <c r="P110" s="434"/>
      <c r="Q110" s="434"/>
      <c r="R110" s="434"/>
      <c r="S110" s="434"/>
      <c r="T110" s="434"/>
      <c r="U110" s="434"/>
    </row>
    <row r="111">
      <c r="A111" s="434"/>
      <c r="B111" s="434"/>
      <c r="C111" s="434"/>
      <c r="D111" s="434"/>
      <c r="E111" s="434"/>
      <c r="F111" s="434"/>
      <c r="G111" s="434"/>
      <c r="H111" s="434"/>
      <c r="I111" s="434"/>
      <c r="J111" s="434"/>
      <c r="K111" s="434"/>
      <c r="L111" s="434"/>
      <c r="M111" s="434"/>
      <c r="N111" s="434"/>
      <c r="O111" s="434"/>
      <c r="P111" s="434"/>
      <c r="Q111" s="434"/>
      <c r="R111" s="434"/>
      <c r="S111" s="434"/>
      <c r="T111" s="434"/>
      <c r="U111" s="434"/>
    </row>
    <row r="112">
      <c r="A112" s="434"/>
      <c r="B112" s="434"/>
      <c r="C112" s="434"/>
      <c r="D112" s="434"/>
      <c r="E112" s="434"/>
      <c r="F112" s="434"/>
      <c r="G112" s="434"/>
      <c r="H112" s="434"/>
      <c r="I112" s="434"/>
      <c r="J112" s="434"/>
      <c r="K112" s="434"/>
      <c r="L112" s="434"/>
      <c r="M112" s="434"/>
      <c r="N112" s="434"/>
      <c r="O112" s="434"/>
      <c r="P112" s="434"/>
      <c r="Q112" s="434"/>
      <c r="R112" s="434"/>
      <c r="S112" s="434"/>
      <c r="T112" s="434"/>
      <c r="U112" s="434"/>
    </row>
    <row r="113">
      <c r="A113" s="434"/>
      <c r="B113" s="434"/>
      <c r="C113" s="434"/>
      <c r="D113" s="434"/>
      <c r="E113" s="434"/>
      <c r="F113" s="434"/>
      <c r="G113" s="434"/>
      <c r="H113" s="434"/>
      <c r="I113" s="434"/>
      <c r="J113" s="434"/>
      <c r="K113" s="434"/>
      <c r="L113" s="434"/>
      <c r="M113" s="434"/>
      <c r="N113" s="434"/>
      <c r="O113" s="434"/>
      <c r="P113" s="434"/>
      <c r="Q113" s="434"/>
      <c r="R113" s="434"/>
      <c r="S113" s="434"/>
      <c r="T113" s="434"/>
      <c r="U113" s="434"/>
    </row>
    <row r="114">
      <c r="A114" s="434"/>
      <c r="B114" s="434"/>
      <c r="C114" s="434"/>
      <c r="D114" s="434"/>
      <c r="E114" s="434"/>
      <c r="F114" s="434"/>
      <c r="G114" s="434"/>
      <c r="H114" s="434"/>
      <c r="I114" s="434"/>
      <c r="J114" s="434"/>
      <c r="K114" s="434"/>
      <c r="L114" s="434"/>
      <c r="M114" s="434"/>
      <c r="N114" s="434"/>
      <c r="O114" s="434"/>
      <c r="P114" s="434"/>
      <c r="Q114" s="434"/>
      <c r="R114" s="434"/>
      <c r="S114" s="434"/>
      <c r="T114" s="434"/>
      <c r="U114" s="434"/>
    </row>
    <row r="115">
      <c r="A115" s="434"/>
      <c r="B115" s="434"/>
      <c r="C115" s="434"/>
      <c r="D115" s="434"/>
      <c r="E115" s="434"/>
      <c r="F115" s="434"/>
      <c r="G115" s="434"/>
      <c r="H115" s="434"/>
      <c r="I115" s="434"/>
      <c r="J115" s="434"/>
      <c r="K115" s="434"/>
      <c r="L115" s="434"/>
      <c r="M115" s="434"/>
      <c r="N115" s="434"/>
      <c r="O115" s="434"/>
      <c r="P115" s="434"/>
      <c r="Q115" s="434"/>
      <c r="R115" s="434"/>
      <c r="S115" s="434"/>
      <c r="T115" s="434"/>
      <c r="U115" s="434"/>
    </row>
    <row r="116">
      <c r="A116" s="434"/>
      <c r="B116" s="434"/>
      <c r="C116" s="434"/>
      <c r="D116" s="434"/>
      <c r="E116" s="434"/>
      <c r="F116" s="434"/>
      <c r="G116" s="434"/>
      <c r="H116" s="434"/>
      <c r="I116" s="434"/>
      <c r="J116" s="434"/>
      <c r="K116" s="434"/>
      <c r="L116" s="434"/>
      <c r="M116" s="434"/>
      <c r="N116" s="434"/>
      <c r="O116" s="434"/>
      <c r="P116" s="434"/>
      <c r="Q116" s="434"/>
      <c r="R116" s="434"/>
      <c r="S116" s="434"/>
      <c r="T116" s="434"/>
      <c r="U116" s="434"/>
    </row>
    <row r="117">
      <c r="A117" s="434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</row>
    <row r="118">
      <c r="A118" s="434"/>
      <c r="B118" s="434"/>
      <c r="C118" s="434"/>
      <c r="D118" s="434"/>
      <c r="E118" s="434"/>
      <c r="F118" s="434"/>
      <c r="G118" s="434"/>
      <c r="H118" s="434"/>
      <c r="I118" s="434"/>
      <c r="J118" s="434"/>
      <c r="K118" s="434"/>
      <c r="L118" s="434"/>
      <c r="M118" s="434"/>
      <c r="N118" s="434"/>
      <c r="O118" s="434"/>
      <c r="P118" s="434"/>
      <c r="Q118" s="434"/>
      <c r="R118" s="434"/>
      <c r="S118" s="434"/>
      <c r="T118" s="434"/>
      <c r="U118" s="434"/>
    </row>
    <row r="119">
      <c r="A119" s="434"/>
      <c r="B119" s="434"/>
      <c r="C119" s="434"/>
      <c r="D119" s="434"/>
      <c r="E119" s="434"/>
      <c r="F119" s="434"/>
      <c r="G119" s="434"/>
      <c r="H119" s="434"/>
      <c r="I119" s="434"/>
      <c r="J119" s="434"/>
      <c r="K119" s="434"/>
      <c r="L119" s="434"/>
      <c r="M119" s="434"/>
      <c r="N119" s="434"/>
      <c r="O119" s="434"/>
      <c r="P119" s="434"/>
      <c r="Q119" s="434"/>
      <c r="R119" s="434"/>
      <c r="S119" s="434"/>
      <c r="T119" s="434"/>
      <c r="U119" s="434"/>
    </row>
    <row r="120">
      <c r="A120" s="434"/>
      <c r="B120" s="434"/>
      <c r="C120" s="434"/>
      <c r="D120" s="434"/>
      <c r="E120" s="434"/>
      <c r="F120" s="434"/>
      <c r="G120" s="434"/>
      <c r="H120" s="434"/>
      <c r="I120" s="434"/>
      <c r="J120" s="434"/>
      <c r="K120" s="434"/>
      <c r="L120" s="434"/>
      <c r="M120" s="434"/>
      <c r="N120" s="434"/>
      <c r="O120" s="434"/>
      <c r="P120" s="434"/>
      <c r="Q120" s="434"/>
      <c r="R120" s="434"/>
      <c r="S120" s="434"/>
      <c r="T120" s="434"/>
      <c r="U120" s="434"/>
    </row>
    <row r="121">
      <c r="A121" s="434"/>
      <c r="B121" s="434"/>
      <c r="C121" s="434"/>
      <c r="D121" s="434"/>
      <c r="E121" s="434"/>
      <c r="F121" s="434"/>
      <c r="G121" s="434"/>
      <c r="H121" s="434"/>
      <c r="I121" s="434"/>
      <c r="J121" s="434"/>
      <c r="K121" s="434"/>
      <c r="L121" s="434"/>
      <c r="M121" s="434"/>
      <c r="N121" s="434"/>
      <c r="O121" s="434"/>
      <c r="P121" s="434"/>
      <c r="Q121" s="434"/>
      <c r="R121" s="434"/>
      <c r="S121" s="434"/>
      <c r="T121" s="434"/>
      <c r="U121" s="434"/>
    </row>
    <row r="122">
      <c r="A122" s="434"/>
      <c r="B122" s="434"/>
      <c r="C122" s="434"/>
      <c r="D122" s="434"/>
      <c r="E122" s="434"/>
      <c r="F122" s="434"/>
      <c r="G122" s="434"/>
      <c r="H122" s="434"/>
      <c r="I122" s="434"/>
      <c r="J122" s="434"/>
      <c r="K122" s="434"/>
      <c r="L122" s="434"/>
      <c r="M122" s="434"/>
      <c r="N122" s="434"/>
      <c r="O122" s="434"/>
      <c r="P122" s="434"/>
      <c r="Q122" s="434"/>
      <c r="R122" s="434"/>
      <c r="S122" s="434"/>
      <c r="T122" s="434"/>
      <c r="U122" s="434"/>
    </row>
    <row r="123">
      <c r="A123" s="434"/>
      <c r="B123" s="434"/>
      <c r="C123" s="434"/>
      <c r="D123" s="434"/>
      <c r="E123" s="434"/>
      <c r="F123" s="434"/>
      <c r="G123" s="434"/>
      <c r="H123" s="434"/>
      <c r="I123" s="434"/>
      <c r="J123" s="434"/>
      <c r="K123" s="434"/>
      <c r="L123" s="434"/>
      <c r="M123" s="434"/>
      <c r="N123" s="434"/>
      <c r="O123" s="434"/>
      <c r="P123" s="434"/>
      <c r="Q123" s="434"/>
      <c r="R123" s="434"/>
      <c r="S123" s="434"/>
      <c r="T123" s="434"/>
      <c r="U123" s="434"/>
    </row>
    <row r="124">
      <c r="A124" s="434"/>
      <c r="B124" s="434"/>
      <c r="C124" s="434"/>
      <c r="D124" s="434"/>
      <c r="E124" s="434"/>
      <c r="F124" s="434"/>
      <c r="G124" s="434"/>
      <c r="H124" s="434"/>
      <c r="I124" s="434"/>
      <c r="J124" s="434"/>
      <c r="K124" s="434"/>
      <c r="L124" s="434"/>
      <c r="M124" s="434"/>
      <c r="N124" s="434"/>
      <c r="O124" s="434"/>
      <c r="P124" s="434"/>
      <c r="Q124" s="434"/>
      <c r="R124" s="434"/>
      <c r="S124" s="434"/>
      <c r="T124" s="434"/>
      <c r="U124" s="434"/>
    </row>
    <row r="125">
      <c r="A125" s="434"/>
      <c r="B125" s="434"/>
      <c r="C125" s="434"/>
      <c r="D125" s="434"/>
      <c r="E125" s="434"/>
      <c r="F125" s="434"/>
      <c r="G125" s="434"/>
      <c r="H125" s="434"/>
      <c r="I125" s="434"/>
      <c r="J125" s="434"/>
      <c r="K125" s="434"/>
      <c r="L125" s="434"/>
      <c r="M125" s="434"/>
      <c r="N125" s="434"/>
      <c r="O125" s="434"/>
      <c r="P125" s="434"/>
      <c r="Q125" s="434"/>
      <c r="R125" s="434"/>
      <c r="S125" s="434"/>
      <c r="T125" s="434"/>
      <c r="U125" s="434"/>
    </row>
    <row r="126">
      <c r="A126" s="434"/>
      <c r="B126" s="434"/>
      <c r="C126" s="434"/>
      <c r="D126" s="434"/>
      <c r="E126" s="434"/>
      <c r="F126" s="434"/>
      <c r="G126" s="434"/>
      <c r="H126" s="434"/>
      <c r="I126" s="434"/>
      <c r="J126" s="434"/>
      <c r="K126" s="434"/>
      <c r="L126" s="434"/>
      <c r="M126" s="434"/>
      <c r="N126" s="434"/>
      <c r="O126" s="434"/>
      <c r="P126" s="434"/>
      <c r="Q126" s="434"/>
      <c r="R126" s="434"/>
      <c r="S126" s="434"/>
      <c r="T126" s="434"/>
      <c r="U126" s="434"/>
    </row>
    <row r="127">
      <c r="A127" s="434"/>
      <c r="B127" s="434"/>
      <c r="C127" s="434"/>
      <c r="D127" s="434"/>
      <c r="E127" s="434"/>
      <c r="F127" s="434"/>
      <c r="G127" s="434"/>
      <c r="H127" s="434"/>
      <c r="I127" s="434"/>
      <c r="J127" s="434"/>
      <c r="K127" s="434"/>
      <c r="L127" s="434"/>
      <c r="M127" s="434"/>
      <c r="N127" s="434"/>
      <c r="O127" s="434"/>
      <c r="P127" s="434"/>
      <c r="Q127" s="434"/>
      <c r="R127" s="434"/>
      <c r="S127" s="434"/>
      <c r="T127" s="434"/>
      <c r="U127" s="434"/>
    </row>
    <row r="128">
      <c r="A128" s="434"/>
      <c r="B128" s="434"/>
      <c r="C128" s="434"/>
      <c r="D128" s="434"/>
      <c r="E128" s="434"/>
      <c r="F128" s="434"/>
      <c r="G128" s="434"/>
      <c r="H128" s="434"/>
      <c r="I128" s="434"/>
      <c r="J128" s="434"/>
      <c r="K128" s="434"/>
      <c r="L128" s="434"/>
      <c r="M128" s="434"/>
      <c r="N128" s="434"/>
      <c r="O128" s="434"/>
      <c r="P128" s="434"/>
      <c r="Q128" s="434"/>
      <c r="R128" s="434"/>
      <c r="S128" s="434"/>
      <c r="T128" s="434"/>
      <c r="U128" s="434"/>
    </row>
    <row r="129">
      <c r="A129" s="434"/>
      <c r="B129" s="434"/>
      <c r="C129" s="434"/>
      <c r="D129" s="434"/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/>
    </row>
    <row r="130">
      <c r="A130" s="434"/>
      <c r="B130" s="434"/>
      <c r="C130" s="434"/>
      <c r="D130" s="434"/>
      <c r="E130" s="434"/>
      <c r="F130" s="434"/>
      <c r="G130" s="434"/>
      <c r="H130" s="434"/>
      <c r="I130" s="434"/>
      <c r="J130" s="434"/>
      <c r="K130" s="434"/>
      <c r="L130" s="434"/>
      <c r="M130" s="434"/>
      <c r="N130" s="434"/>
      <c r="O130" s="434"/>
      <c r="P130" s="434"/>
      <c r="Q130" s="434"/>
      <c r="R130" s="434"/>
      <c r="S130" s="434"/>
      <c r="T130" s="434"/>
      <c r="U130" s="434"/>
    </row>
    <row r="131">
      <c r="A131" s="434"/>
      <c r="B131" s="434"/>
      <c r="C131" s="434"/>
      <c r="D131" s="434"/>
      <c r="E131" s="434"/>
      <c r="F131" s="434"/>
      <c r="G131" s="434"/>
      <c r="H131" s="434"/>
      <c r="I131" s="434"/>
      <c r="J131" s="434"/>
      <c r="K131" s="434"/>
      <c r="L131" s="434"/>
      <c r="M131" s="434"/>
      <c r="N131" s="434"/>
      <c r="O131" s="434"/>
      <c r="P131" s="434"/>
      <c r="Q131" s="434"/>
      <c r="R131" s="434"/>
      <c r="S131" s="434"/>
      <c r="T131" s="434"/>
      <c r="U131" s="434"/>
    </row>
    <row r="132">
      <c r="A132" s="434"/>
      <c r="B132" s="434"/>
      <c r="C132" s="434"/>
      <c r="D132" s="434"/>
      <c r="E132" s="434"/>
      <c r="F132" s="434"/>
      <c r="G132" s="434"/>
      <c r="H132" s="434"/>
      <c r="I132" s="434"/>
      <c r="J132" s="434"/>
      <c r="K132" s="434"/>
      <c r="L132" s="434"/>
      <c r="M132" s="434"/>
      <c r="N132" s="434"/>
      <c r="O132" s="434"/>
      <c r="P132" s="434"/>
      <c r="Q132" s="434"/>
      <c r="R132" s="434"/>
      <c r="S132" s="434"/>
      <c r="T132" s="434"/>
      <c r="U132" s="434"/>
    </row>
    <row r="133">
      <c r="A133" s="434"/>
      <c r="B133" s="434"/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</row>
    <row r="134">
      <c r="A134" s="434"/>
      <c r="B134" s="434"/>
      <c r="C134" s="434"/>
      <c r="D134" s="434"/>
      <c r="E134" s="434"/>
      <c r="F134" s="434"/>
      <c r="G134" s="434"/>
      <c r="H134" s="434"/>
      <c r="I134" s="434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434"/>
      <c r="U134" s="434"/>
    </row>
    <row r="135">
      <c r="A135" s="434"/>
      <c r="B135" s="434"/>
      <c r="C135" s="434"/>
      <c r="D135" s="434"/>
      <c r="E135" s="434"/>
      <c r="F135" s="434"/>
      <c r="G135" s="434"/>
      <c r="H135" s="434"/>
      <c r="I135" s="434"/>
      <c r="J135" s="434"/>
      <c r="K135" s="434"/>
      <c r="L135" s="434"/>
      <c r="M135" s="434"/>
      <c r="N135" s="434"/>
      <c r="O135" s="434"/>
      <c r="P135" s="434"/>
      <c r="Q135" s="434"/>
      <c r="R135" s="434"/>
      <c r="S135" s="434"/>
      <c r="T135" s="434"/>
      <c r="U135" s="434"/>
    </row>
    <row r="136">
      <c r="A136" s="434"/>
      <c r="B136" s="434"/>
      <c r="C136" s="434"/>
      <c r="D136" s="434"/>
      <c r="E136" s="434"/>
      <c r="F136" s="434"/>
      <c r="G136" s="434"/>
      <c r="H136" s="434"/>
      <c r="I136" s="434"/>
      <c r="J136" s="434"/>
      <c r="K136" s="434"/>
      <c r="L136" s="434"/>
      <c r="M136" s="434"/>
      <c r="N136" s="434"/>
      <c r="O136" s="434"/>
      <c r="P136" s="434"/>
      <c r="Q136" s="434"/>
      <c r="R136" s="434"/>
      <c r="S136" s="434"/>
      <c r="T136" s="434"/>
      <c r="U136" s="434"/>
    </row>
    <row r="137">
      <c r="A137" s="434"/>
      <c r="B137" s="434"/>
      <c r="C137" s="434"/>
      <c r="D137" s="434"/>
      <c r="E137" s="434"/>
      <c r="F137" s="434"/>
      <c r="G137" s="434"/>
      <c r="H137" s="434"/>
      <c r="I137" s="434"/>
      <c r="J137" s="434"/>
      <c r="K137" s="434"/>
      <c r="L137" s="434"/>
      <c r="M137" s="434"/>
      <c r="N137" s="434"/>
      <c r="O137" s="434"/>
      <c r="P137" s="434"/>
      <c r="Q137" s="434"/>
      <c r="R137" s="434"/>
      <c r="S137" s="434"/>
      <c r="T137" s="434"/>
      <c r="U137" s="434"/>
    </row>
    <row r="138">
      <c r="A138" s="434"/>
      <c r="B138" s="434"/>
      <c r="C138" s="434"/>
      <c r="D138" s="434"/>
      <c r="E138" s="434"/>
      <c r="F138" s="434"/>
      <c r="G138" s="434"/>
      <c r="H138" s="434"/>
      <c r="I138" s="434"/>
      <c r="J138" s="434"/>
      <c r="K138" s="434"/>
      <c r="L138" s="434"/>
      <c r="M138" s="434"/>
      <c r="N138" s="434"/>
      <c r="O138" s="434"/>
      <c r="P138" s="434"/>
      <c r="Q138" s="434"/>
      <c r="R138" s="434"/>
      <c r="S138" s="434"/>
      <c r="T138" s="434"/>
      <c r="U138" s="434"/>
    </row>
    <row r="139">
      <c r="A139" s="434"/>
      <c r="B139" s="434"/>
      <c r="C139" s="434"/>
      <c r="D139" s="434"/>
      <c r="E139" s="434"/>
      <c r="F139" s="434"/>
      <c r="G139" s="434"/>
      <c r="H139" s="434"/>
      <c r="I139" s="434"/>
      <c r="J139" s="434"/>
      <c r="K139" s="434"/>
      <c r="L139" s="434"/>
      <c r="M139" s="434"/>
      <c r="N139" s="434"/>
      <c r="O139" s="434"/>
      <c r="P139" s="434"/>
      <c r="Q139" s="434"/>
      <c r="R139" s="434"/>
      <c r="S139" s="434"/>
      <c r="T139" s="434"/>
      <c r="U139" s="434"/>
    </row>
    <row r="140">
      <c r="A140" s="434"/>
      <c r="B140" s="434"/>
      <c r="C140" s="434"/>
      <c r="D140" s="434"/>
      <c r="E140" s="434"/>
      <c r="F140" s="434"/>
      <c r="G140" s="434"/>
      <c r="H140" s="434"/>
      <c r="I140" s="434"/>
      <c r="J140" s="434"/>
      <c r="K140" s="434"/>
      <c r="L140" s="434"/>
      <c r="M140" s="434"/>
      <c r="N140" s="434"/>
      <c r="O140" s="434"/>
      <c r="P140" s="434"/>
      <c r="Q140" s="434"/>
      <c r="R140" s="434"/>
      <c r="S140" s="434"/>
      <c r="T140" s="434"/>
      <c r="U140" s="434"/>
    </row>
    <row r="141">
      <c r="A141" s="434"/>
      <c r="B141" s="434"/>
      <c r="C141" s="434"/>
      <c r="D141" s="434"/>
      <c r="E141" s="434"/>
      <c r="F141" s="434"/>
      <c r="G141" s="434"/>
      <c r="H141" s="434"/>
      <c r="I141" s="434"/>
      <c r="J141" s="434"/>
      <c r="K141" s="434"/>
      <c r="L141" s="434"/>
      <c r="M141" s="434"/>
      <c r="N141" s="434"/>
      <c r="O141" s="434"/>
      <c r="P141" s="434"/>
      <c r="Q141" s="434"/>
      <c r="R141" s="434"/>
      <c r="S141" s="434"/>
      <c r="T141" s="434"/>
      <c r="U141" s="434"/>
    </row>
    <row r="142">
      <c r="A142" s="434"/>
      <c r="B142" s="434"/>
      <c r="C142" s="434"/>
      <c r="D142" s="434"/>
      <c r="E142" s="434"/>
      <c r="F142" s="434"/>
      <c r="G142" s="434"/>
      <c r="H142" s="434"/>
      <c r="I142" s="434"/>
      <c r="J142" s="434"/>
      <c r="K142" s="434"/>
      <c r="L142" s="434"/>
      <c r="M142" s="434"/>
      <c r="N142" s="434"/>
      <c r="O142" s="434"/>
      <c r="P142" s="434"/>
      <c r="Q142" s="434"/>
      <c r="R142" s="434"/>
      <c r="S142" s="434"/>
      <c r="T142" s="434"/>
      <c r="U142" s="434"/>
    </row>
    <row r="143">
      <c r="A143" s="434"/>
      <c r="B143" s="434"/>
      <c r="C143" s="434"/>
      <c r="D143" s="434"/>
      <c r="E143" s="434"/>
      <c r="F143" s="434"/>
      <c r="G143" s="434"/>
      <c r="H143" s="434"/>
      <c r="I143" s="434"/>
      <c r="J143" s="434"/>
      <c r="K143" s="434"/>
      <c r="L143" s="434"/>
      <c r="M143" s="434"/>
      <c r="N143" s="434"/>
      <c r="O143" s="434"/>
      <c r="P143" s="434"/>
      <c r="Q143" s="434"/>
      <c r="R143" s="434"/>
      <c r="S143" s="434"/>
      <c r="T143" s="434"/>
      <c r="U143" s="434"/>
    </row>
    <row r="144">
      <c r="A144" s="434"/>
      <c r="B144" s="434"/>
      <c r="C144" s="434"/>
      <c r="D144" s="434"/>
      <c r="E144" s="434"/>
      <c r="F144" s="434"/>
      <c r="G144" s="434"/>
      <c r="H144" s="434"/>
      <c r="I144" s="434"/>
      <c r="J144" s="434"/>
      <c r="K144" s="434"/>
      <c r="L144" s="434"/>
      <c r="M144" s="434"/>
      <c r="N144" s="434"/>
      <c r="O144" s="434"/>
      <c r="P144" s="434"/>
      <c r="Q144" s="434"/>
      <c r="R144" s="434"/>
      <c r="S144" s="434"/>
      <c r="T144" s="434"/>
      <c r="U144" s="434"/>
    </row>
    <row r="145">
      <c r="A145" s="434"/>
      <c r="B145" s="434"/>
      <c r="C145" s="434"/>
      <c r="D145" s="434"/>
      <c r="E145" s="434"/>
      <c r="F145" s="434"/>
      <c r="G145" s="434"/>
      <c r="H145" s="434"/>
      <c r="I145" s="434"/>
      <c r="J145" s="434"/>
      <c r="K145" s="434"/>
      <c r="L145" s="434"/>
      <c r="M145" s="434"/>
      <c r="N145" s="434"/>
      <c r="O145" s="434"/>
      <c r="P145" s="434"/>
      <c r="Q145" s="434"/>
      <c r="R145" s="434"/>
      <c r="S145" s="434"/>
      <c r="T145" s="434"/>
      <c r="U145" s="434"/>
    </row>
    <row r="146">
      <c r="A146" s="434"/>
      <c r="B146" s="434"/>
      <c r="C146" s="434"/>
      <c r="D146" s="434"/>
      <c r="E146" s="434"/>
      <c r="F146" s="434"/>
      <c r="G146" s="434"/>
      <c r="H146" s="434"/>
      <c r="I146" s="434"/>
      <c r="J146" s="434"/>
      <c r="K146" s="434"/>
      <c r="L146" s="434"/>
      <c r="M146" s="434"/>
      <c r="N146" s="434"/>
      <c r="O146" s="434"/>
      <c r="P146" s="434"/>
      <c r="Q146" s="434"/>
      <c r="R146" s="434"/>
      <c r="S146" s="434"/>
      <c r="T146" s="434"/>
      <c r="U146" s="434"/>
    </row>
    <row r="147">
      <c r="A147" s="434"/>
      <c r="B147" s="434"/>
      <c r="C147" s="434"/>
      <c r="D147" s="434"/>
      <c r="E147" s="434"/>
      <c r="F147" s="434"/>
      <c r="G147" s="434"/>
      <c r="H147" s="434"/>
      <c r="I147" s="434"/>
      <c r="J147" s="434"/>
      <c r="K147" s="434"/>
      <c r="L147" s="434"/>
      <c r="M147" s="434"/>
      <c r="N147" s="434"/>
      <c r="O147" s="434"/>
      <c r="P147" s="434"/>
      <c r="Q147" s="434"/>
      <c r="R147" s="434"/>
      <c r="S147" s="434"/>
      <c r="T147" s="434"/>
      <c r="U147" s="434"/>
    </row>
    <row r="148">
      <c r="A148" s="434"/>
      <c r="B148" s="434"/>
      <c r="C148" s="434"/>
      <c r="D148" s="434"/>
      <c r="E148" s="434"/>
      <c r="F148" s="434"/>
      <c r="G148" s="434"/>
      <c r="H148" s="434"/>
      <c r="I148" s="434"/>
      <c r="J148" s="434"/>
      <c r="K148" s="434"/>
      <c r="L148" s="434"/>
      <c r="M148" s="434"/>
      <c r="N148" s="434"/>
      <c r="O148" s="434"/>
      <c r="P148" s="434"/>
      <c r="Q148" s="434"/>
      <c r="R148" s="434"/>
      <c r="S148" s="434"/>
      <c r="T148" s="434"/>
      <c r="U148" s="434"/>
    </row>
    <row r="149">
      <c r="A149" s="434"/>
      <c r="B149" s="434"/>
      <c r="C149" s="434"/>
      <c r="D149" s="434"/>
      <c r="E149" s="434"/>
      <c r="F149" s="434"/>
      <c r="G149" s="434"/>
      <c r="H149" s="434"/>
      <c r="I149" s="434"/>
      <c r="J149" s="434"/>
      <c r="K149" s="434"/>
      <c r="L149" s="434"/>
      <c r="M149" s="434"/>
      <c r="N149" s="434"/>
      <c r="O149" s="434"/>
      <c r="P149" s="434"/>
      <c r="Q149" s="434"/>
      <c r="R149" s="434"/>
      <c r="S149" s="434"/>
      <c r="T149" s="434"/>
      <c r="U149" s="434"/>
    </row>
    <row r="150">
      <c r="A150" s="434"/>
      <c r="B150" s="434"/>
      <c r="C150" s="434"/>
      <c r="D150" s="434"/>
      <c r="E150" s="434"/>
      <c r="F150" s="434"/>
      <c r="G150" s="434"/>
      <c r="H150" s="434"/>
      <c r="I150" s="434"/>
      <c r="J150" s="434"/>
      <c r="K150" s="434"/>
      <c r="L150" s="434"/>
      <c r="M150" s="434"/>
      <c r="N150" s="434"/>
      <c r="O150" s="434"/>
      <c r="P150" s="434"/>
      <c r="Q150" s="434"/>
      <c r="R150" s="434"/>
      <c r="S150" s="434"/>
      <c r="T150" s="434"/>
      <c r="U150" s="434"/>
    </row>
    <row r="151">
      <c r="A151" s="434"/>
      <c r="B151" s="434"/>
      <c r="C151" s="434"/>
      <c r="D151" s="434"/>
      <c r="E151" s="434"/>
      <c r="F151" s="434"/>
      <c r="G151" s="434"/>
      <c r="H151" s="434"/>
      <c r="I151" s="434"/>
      <c r="J151" s="434"/>
      <c r="K151" s="434"/>
      <c r="L151" s="434"/>
      <c r="M151" s="434"/>
      <c r="N151" s="434"/>
      <c r="O151" s="434"/>
      <c r="P151" s="434"/>
      <c r="Q151" s="434"/>
      <c r="R151" s="434"/>
      <c r="S151" s="434"/>
      <c r="T151" s="434"/>
      <c r="U151" s="434"/>
    </row>
    <row r="152">
      <c r="A152" s="434"/>
      <c r="B152" s="434"/>
      <c r="C152" s="434"/>
      <c r="D152" s="434"/>
      <c r="E152" s="434"/>
      <c r="F152" s="434"/>
      <c r="G152" s="434"/>
      <c r="H152" s="434"/>
      <c r="I152" s="434"/>
      <c r="J152" s="434"/>
      <c r="K152" s="434"/>
      <c r="L152" s="434"/>
      <c r="M152" s="434"/>
      <c r="N152" s="434"/>
      <c r="O152" s="434"/>
      <c r="P152" s="434"/>
      <c r="Q152" s="434"/>
      <c r="R152" s="434"/>
      <c r="S152" s="434"/>
      <c r="T152" s="434"/>
      <c r="U152" s="434"/>
    </row>
    <row r="153">
      <c r="A153" s="434"/>
      <c r="B153" s="434"/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</row>
    <row r="154">
      <c r="A154" s="434"/>
      <c r="B154" s="434"/>
      <c r="C154" s="434"/>
      <c r="D154" s="434"/>
      <c r="E154" s="434"/>
      <c r="F154" s="434"/>
      <c r="G154" s="434"/>
      <c r="H154" s="434"/>
      <c r="I154" s="434"/>
      <c r="J154" s="434"/>
      <c r="K154" s="434"/>
      <c r="L154" s="434"/>
      <c r="M154" s="434"/>
      <c r="N154" s="434"/>
      <c r="O154" s="434"/>
      <c r="P154" s="434"/>
      <c r="Q154" s="434"/>
      <c r="R154" s="434"/>
      <c r="S154" s="434"/>
      <c r="T154" s="434"/>
      <c r="U154" s="434"/>
    </row>
    <row r="155">
      <c r="A155" s="434"/>
      <c r="B155" s="434"/>
      <c r="C155" s="434"/>
      <c r="D155" s="434"/>
      <c r="E155" s="434"/>
      <c r="F155" s="434"/>
      <c r="G155" s="434"/>
      <c r="H155" s="434"/>
      <c r="I155" s="434"/>
      <c r="J155" s="434"/>
      <c r="K155" s="434"/>
      <c r="L155" s="434"/>
      <c r="M155" s="434"/>
      <c r="N155" s="434"/>
      <c r="O155" s="434"/>
      <c r="P155" s="434"/>
      <c r="Q155" s="434"/>
      <c r="R155" s="434"/>
      <c r="S155" s="434"/>
      <c r="T155" s="434"/>
      <c r="U155" s="434"/>
    </row>
    <row r="156">
      <c r="A156" s="434"/>
      <c r="B156" s="434"/>
      <c r="C156" s="434"/>
      <c r="D156" s="434"/>
      <c r="E156" s="434"/>
      <c r="F156" s="434"/>
      <c r="G156" s="434"/>
      <c r="H156" s="434"/>
      <c r="I156" s="434"/>
      <c r="J156" s="434"/>
      <c r="K156" s="434"/>
      <c r="L156" s="434"/>
      <c r="M156" s="434"/>
      <c r="N156" s="434"/>
      <c r="O156" s="434"/>
      <c r="P156" s="434"/>
      <c r="Q156" s="434"/>
      <c r="R156" s="434"/>
      <c r="S156" s="434"/>
      <c r="T156" s="434"/>
      <c r="U156" s="434"/>
    </row>
    <row r="157">
      <c r="A157" s="434"/>
      <c r="B157" s="434"/>
      <c r="C157" s="434"/>
      <c r="D157" s="434"/>
      <c r="E157" s="434"/>
      <c r="F157" s="434"/>
      <c r="G157" s="434"/>
      <c r="H157" s="434"/>
      <c r="I157" s="434"/>
      <c r="J157" s="434"/>
      <c r="K157" s="434"/>
      <c r="L157" s="434"/>
      <c r="M157" s="434"/>
      <c r="N157" s="434"/>
      <c r="O157" s="434"/>
      <c r="P157" s="434"/>
      <c r="Q157" s="434"/>
      <c r="R157" s="434"/>
      <c r="S157" s="434"/>
      <c r="T157" s="434"/>
      <c r="U157" s="434"/>
    </row>
    <row r="158">
      <c r="A158" s="434"/>
      <c r="B158" s="434"/>
      <c r="C158" s="434"/>
      <c r="D158" s="434"/>
      <c r="E158" s="434"/>
      <c r="F158" s="434"/>
      <c r="G158" s="434"/>
      <c r="H158" s="434"/>
      <c r="I158" s="434"/>
      <c r="J158" s="434"/>
      <c r="K158" s="434"/>
      <c r="L158" s="434"/>
      <c r="M158" s="434"/>
      <c r="N158" s="434"/>
      <c r="O158" s="434"/>
      <c r="P158" s="434"/>
      <c r="Q158" s="434"/>
      <c r="R158" s="434"/>
      <c r="S158" s="434"/>
      <c r="T158" s="434"/>
      <c r="U158" s="434"/>
    </row>
    <row r="159">
      <c r="A159" s="434"/>
      <c r="B159" s="434"/>
      <c r="C159" s="434"/>
      <c r="D159" s="434"/>
      <c r="E159" s="434"/>
      <c r="F159" s="434"/>
      <c r="G159" s="434"/>
      <c r="H159" s="434"/>
      <c r="I159" s="434"/>
      <c r="J159" s="434"/>
      <c r="K159" s="434"/>
      <c r="L159" s="434"/>
      <c r="M159" s="434"/>
      <c r="N159" s="434"/>
      <c r="O159" s="434"/>
      <c r="P159" s="434"/>
      <c r="Q159" s="434"/>
      <c r="R159" s="434"/>
      <c r="S159" s="434"/>
      <c r="T159" s="434"/>
      <c r="U159" s="434"/>
    </row>
    <row r="160">
      <c r="A160" s="434"/>
      <c r="B160" s="434"/>
      <c r="C160" s="434"/>
      <c r="D160" s="434"/>
      <c r="E160" s="434"/>
      <c r="F160" s="434"/>
      <c r="G160" s="434"/>
      <c r="H160" s="434"/>
      <c r="I160" s="434"/>
      <c r="J160" s="434"/>
      <c r="K160" s="434"/>
      <c r="L160" s="434"/>
      <c r="M160" s="434"/>
      <c r="N160" s="434"/>
      <c r="O160" s="434"/>
      <c r="P160" s="434"/>
      <c r="Q160" s="434"/>
      <c r="R160" s="434"/>
      <c r="S160" s="434"/>
      <c r="T160" s="434"/>
      <c r="U160" s="434"/>
    </row>
    <row r="161">
      <c r="A161" s="434"/>
      <c r="B161" s="434"/>
      <c r="C161" s="434"/>
      <c r="D161" s="434"/>
      <c r="E161" s="434"/>
      <c r="F161" s="434"/>
      <c r="G161" s="434"/>
      <c r="H161" s="434"/>
      <c r="I161" s="434"/>
      <c r="J161" s="434"/>
      <c r="K161" s="434"/>
      <c r="L161" s="434"/>
      <c r="M161" s="434"/>
      <c r="N161" s="434"/>
      <c r="O161" s="434"/>
      <c r="P161" s="434"/>
      <c r="Q161" s="434"/>
      <c r="R161" s="434"/>
      <c r="S161" s="434"/>
      <c r="T161" s="434"/>
      <c r="U161" s="434"/>
    </row>
    <row r="162">
      <c r="A162" s="434"/>
      <c r="B162" s="434"/>
      <c r="C162" s="434"/>
      <c r="D162" s="434"/>
      <c r="E162" s="434"/>
      <c r="F162" s="434"/>
      <c r="G162" s="434"/>
      <c r="H162" s="434"/>
      <c r="I162" s="434"/>
      <c r="J162" s="434"/>
      <c r="K162" s="434"/>
      <c r="L162" s="434"/>
      <c r="M162" s="434"/>
      <c r="N162" s="434"/>
      <c r="O162" s="434"/>
      <c r="P162" s="434"/>
      <c r="Q162" s="434"/>
      <c r="R162" s="434"/>
      <c r="S162" s="434"/>
      <c r="T162" s="434"/>
      <c r="U162" s="434"/>
    </row>
    <row r="163">
      <c r="A163" s="434"/>
      <c r="B163" s="434"/>
      <c r="C163" s="434"/>
      <c r="D163" s="434"/>
      <c r="E163" s="434"/>
      <c r="F163" s="434"/>
      <c r="G163" s="434"/>
      <c r="H163" s="434"/>
      <c r="I163" s="434"/>
      <c r="J163" s="434"/>
      <c r="K163" s="434"/>
      <c r="L163" s="434"/>
      <c r="M163" s="434"/>
      <c r="N163" s="434"/>
      <c r="O163" s="434"/>
      <c r="P163" s="434"/>
      <c r="Q163" s="434"/>
      <c r="R163" s="434"/>
      <c r="S163" s="434"/>
      <c r="T163" s="434"/>
      <c r="U163" s="434"/>
    </row>
    <row r="164">
      <c r="A164" s="434"/>
      <c r="B164" s="434"/>
      <c r="C164" s="434"/>
      <c r="D164" s="434"/>
      <c r="E164" s="434"/>
      <c r="F164" s="434"/>
      <c r="G164" s="434"/>
      <c r="H164" s="434"/>
      <c r="I164" s="434"/>
      <c r="J164" s="434"/>
      <c r="K164" s="434"/>
      <c r="L164" s="434"/>
      <c r="M164" s="434"/>
      <c r="N164" s="434"/>
      <c r="O164" s="434"/>
      <c r="P164" s="434"/>
      <c r="Q164" s="434"/>
      <c r="R164" s="434"/>
      <c r="S164" s="434"/>
      <c r="T164" s="434"/>
      <c r="U164" s="434"/>
    </row>
    <row r="165">
      <c r="A165" s="434"/>
      <c r="B165" s="434"/>
      <c r="C165" s="434"/>
      <c r="D165" s="434"/>
      <c r="E165" s="434"/>
      <c r="F165" s="434"/>
      <c r="G165" s="434"/>
      <c r="H165" s="434"/>
      <c r="I165" s="434"/>
      <c r="J165" s="434"/>
      <c r="K165" s="434"/>
      <c r="L165" s="434"/>
      <c r="M165" s="434"/>
      <c r="N165" s="434"/>
      <c r="O165" s="434"/>
      <c r="P165" s="434"/>
      <c r="Q165" s="434"/>
      <c r="R165" s="434"/>
      <c r="S165" s="434"/>
      <c r="T165" s="434"/>
      <c r="U165" s="434"/>
    </row>
    <row r="166">
      <c r="A166" s="434"/>
      <c r="B166" s="434"/>
      <c r="C166" s="434"/>
      <c r="D166" s="434"/>
      <c r="E166" s="434"/>
      <c r="F166" s="434"/>
      <c r="G166" s="434"/>
      <c r="H166" s="434"/>
      <c r="I166" s="434"/>
      <c r="J166" s="434"/>
      <c r="K166" s="434"/>
      <c r="L166" s="434"/>
      <c r="M166" s="434"/>
      <c r="N166" s="434"/>
      <c r="O166" s="434"/>
      <c r="P166" s="434"/>
      <c r="Q166" s="434"/>
      <c r="R166" s="434"/>
      <c r="S166" s="434"/>
      <c r="T166" s="434"/>
      <c r="U166" s="434"/>
    </row>
    <row r="167">
      <c r="A167" s="434"/>
      <c r="B167" s="434"/>
      <c r="C167" s="434"/>
      <c r="D167" s="434"/>
      <c r="E167" s="434"/>
      <c r="F167" s="434"/>
      <c r="G167" s="434"/>
      <c r="H167" s="434"/>
      <c r="I167" s="434"/>
      <c r="J167" s="434"/>
      <c r="K167" s="434"/>
      <c r="L167" s="434"/>
      <c r="M167" s="434"/>
      <c r="N167" s="434"/>
      <c r="O167" s="434"/>
      <c r="P167" s="434"/>
      <c r="Q167" s="434"/>
      <c r="R167" s="434"/>
      <c r="S167" s="434"/>
      <c r="T167" s="434"/>
      <c r="U167" s="434"/>
    </row>
    <row r="168">
      <c r="A168" s="434"/>
      <c r="B168" s="434"/>
      <c r="C168" s="434"/>
      <c r="D168" s="434"/>
      <c r="E168" s="434"/>
      <c r="F168" s="434"/>
      <c r="G168" s="434"/>
      <c r="H168" s="434"/>
      <c r="I168" s="434"/>
      <c r="J168" s="434"/>
      <c r="K168" s="434"/>
      <c r="L168" s="434"/>
      <c r="M168" s="434"/>
      <c r="N168" s="434"/>
      <c r="O168" s="434"/>
      <c r="P168" s="434"/>
      <c r="Q168" s="434"/>
      <c r="R168" s="434"/>
      <c r="S168" s="434"/>
      <c r="T168" s="434"/>
      <c r="U168" s="434"/>
    </row>
    <row r="169">
      <c r="A169" s="434"/>
      <c r="B169" s="434"/>
      <c r="C169" s="434"/>
      <c r="D169" s="434"/>
      <c r="E169" s="434"/>
      <c r="F169" s="434"/>
      <c r="G169" s="434"/>
      <c r="H169" s="434"/>
      <c r="I169" s="434"/>
      <c r="J169" s="434"/>
      <c r="K169" s="434"/>
      <c r="L169" s="434"/>
      <c r="M169" s="434"/>
      <c r="N169" s="434"/>
      <c r="O169" s="434"/>
      <c r="P169" s="434"/>
      <c r="Q169" s="434"/>
      <c r="R169" s="434"/>
      <c r="S169" s="434"/>
      <c r="T169" s="434"/>
      <c r="U169" s="434"/>
    </row>
    <row r="170">
      <c r="A170" s="434"/>
      <c r="B170" s="434"/>
      <c r="C170" s="434"/>
      <c r="D170" s="434"/>
      <c r="E170" s="434"/>
      <c r="F170" s="434"/>
      <c r="G170" s="434"/>
      <c r="H170" s="434"/>
      <c r="I170" s="434"/>
      <c r="J170" s="434"/>
      <c r="K170" s="434"/>
      <c r="L170" s="434"/>
      <c r="M170" s="434"/>
      <c r="N170" s="434"/>
      <c r="O170" s="434"/>
      <c r="P170" s="434"/>
      <c r="Q170" s="434"/>
      <c r="R170" s="434"/>
      <c r="S170" s="434"/>
      <c r="T170" s="434"/>
      <c r="U170" s="434"/>
    </row>
    <row r="171">
      <c r="A171" s="434"/>
      <c r="B171" s="434"/>
      <c r="C171" s="434"/>
      <c r="D171" s="434"/>
      <c r="E171" s="434"/>
      <c r="F171" s="434"/>
      <c r="G171" s="434"/>
      <c r="H171" s="434"/>
      <c r="I171" s="434"/>
      <c r="J171" s="434"/>
      <c r="K171" s="434"/>
      <c r="L171" s="434"/>
      <c r="M171" s="434"/>
      <c r="N171" s="434"/>
      <c r="O171" s="434"/>
      <c r="P171" s="434"/>
      <c r="Q171" s="434"/>
      <c r="R171" s="434"/>
      <c r="S171" s="434"/>
      <c r="T171" s="434"/>
      <c r="U171" s="434"/>
    </row>
    <row r="172">
      <c r="A172" s="434"/>
      <c r="B172" s="434"/>
      <c r="C172" s="434"/>
      <c r="D172" s="434"/>
      <c r="E172" s="434"/>
      <c r="F172" s="434"/>
      <c r="G172" s="434"/>
      <c r="H172" s="434"/>
      <c r="I172" s="434"/>
      <c r="J172" s="434"/>
      <c r="K172" s="434"/>
      <c r="L172" s="434"/>
      <c r="M172" s="434"/>
      <c r="N172" s="434"/>
      <c r="O172" s="434"/>
      <c r="P172" s="434"/>
      <c r="Q172" s="434"/>
      <c r="R172" s="434"/>
      <c r="S172" s="434"/>
      <c r="T172" s="434"/>
      <c r="U172" s="434"/>
    </row>
    <row r="173">
      <c r="A173" s="434"/>
      <c r="B173" s="434"/>
      <c r="C173" s="434"/>
      <c r="D173" s="434"/>
      <c r="E173" s="434"/>
      <c r="F173" s="434"/>
      <c r="G173" s="434"/>
      <c r="H173" s="434"/>
      <c r="I173" s="434"/>
      <c r="J173" s="434"/>
      <c r="K173" s="434"/>
      <c r="L173" s="434"/>
      <c r="M173" s="434"/>
      <c r="N173" s="434"/>
      <c r="O173" s="434"/>
      <c r="P173" s="434"/>
      <c r="Q173" s="434"/>
      <c r="R173" s="434"/>
      <c r="S173" s="434"/>
      <c r="T173" s="434"/>
      <c r="U173" s="434"/>
    </row>
    <row r="174">
      <c r="A174" s="434"/>
      <c r="B174" s="434"/>
      <c r="C174" s="434"/>
      <c r="D174" s="434"/>
      <c r="E174" s="434"/>
      <c r="F174" s="434"/>
      <c r="G174" s="434"/>
      <c r="H174" s="434"/>
      <c r="I174" s="434"/>
      <c r="J174" s="434"/>
      <c r="K174" s="434"/>
      <c r="L174" s="434"/>
      <c r="M174" s="434"/>
      <c r="N174" s="434"/>
      <c r="O174" s="434"/>
      <c r="P174" s="434"/>
      <c r="Q174" s="434"/>
      <c r="R174" s="434"/>
      <c r="S174" s="434"/>
      <c r="T174" s="434"/>
      <c r="U174" s="434"/>
    </row>
    <row r="175">
      <c r="A175" s="434"/>
      <c r="B175" s="434"/>
      <c r="C175" s="434"/>
      <c r="D175" s="434"/>
      <c r="E175" s="434"/>
      <c r="F175" s="434"/>
      <c r="G175" s="434"/>
      <c r="H175" s="434"/>
      <c r="I175" s="434"/>
      <c r="J175" s="434"/>
      <c r="K175" s="434"/>
      <c r="L175" s="434"/>
      <c r="M175" s="434"/>
      <c r="N175" s="434"/>
      <c r="O175" s="434"/>
      <c r="P175" s="434"/>
      <c r="Q175" s="434"/>
      <c r="R175" s="434"/>
      <c r="S175" s="434"/>
      <c r="T175" s="434"/>
      <c r="U175" s="434"/>
    </row>
    <row r="176">
      <c r="A176" s="434"/>
      <c r="B176" s="434"/>
      <c r="C176" s="434"/>
      <c r="D176" s="434"/>
      <c r="E176" s="434"/>
      <c r="F176" s="434"/>
      <c r="G176" s="434"/>
      <c r="H176" s="434"/>
      <c r="I176" s="434"/>
      <c r="J176" s="434"/>
      <c r="K176" s="434"/>
      <c r="L176" s="434"/>
      <c r="M176" s="434"/>
      <c r="N176" s="434"/>
      <c r="O176" s="434"/>
      <c r="P176" s="434"/>
      <c r="Q176" s="434"/>
      <c r="R176" s="434"/>
      <c r="S176" s="434"/>
      <c r="T176" s="434"/>
      <c r="U176" s="434"/>
    </row>
    <row r="177">
      <c r="A177" s="434"/>
      <c r="B177" s="434"/>
      <c r="C177" s="434"/>
      <c r="D177" s="434"/>
      <c r="E177" s="434"/>
      <c r="F177" s="434"/>
      <c r="G177" s="434"/>
      <c r="H177" s="434"/>
      <c r="I177" s="434"/>
      <c r="J177" s="434"/>
      <c r="K177" s="434"/>
      <c r="L177" s="434"/>
      <c r="M177" s="434"/>
      <c r="N177" s="434"/>
      <c r="O177" s="434"/>
      <c r="P177" s="434"/>
      <c r="Q177" s="434"/>
      <c r="R177" s="434"/>
      <c r="S177" s="434"/>
      <c r="T177" s="434"/>
      <c r="U177" s="434"/>
    </row>
    <row r="178">
      <c r="A178" s="434"/>
      <c r="B178" s="434"/>
      <c r="C178" s="434"/>
      <c r="D178" s="434"/>
      <c r="E178" s="434"/>
      <c r="F178" s="434"/>
      <c r="G178" s="434"/>
      <c r="H178" s="434"/>
      <c r="I178" s="434"/>
      <c r="J178" s="434"/>
      <c r="K178" s="434"/>
      <c r="L178" s="434"/>
      <c r="M178" s="434"/>
      <c r="N178" s="434"/>
      <c r="O178" s="434"/>
      <c r="P178" s="434"/>
      <c r="Q178" s="434"/>
      <c r="R178" s="434"/>
      <c r="S178" s="434"/>
      <c r="T178" s="434"/>
      <c r="U178" s="434"/>
    </row>
    <row r="179">
      <c r="A179" s="434"/>
      <c r="B179" s="434"/>
      <c r="C179" s="434"/>
      <c r="D179" s="434"/>
      <c r="E179" s="434"/>
      <c r="F179" s="434"/>
      <c r="G179" s="434"/>
      <c r="H179" s="434"/>
      <c r="I179" s="434"/>
      <c r="J179" s="434"/>
      <c r="K179" s="434"/>
      <c r="L179" s="434"/>
      <c r="M179" s="434"/>
      <c r="N179" s="434"/>
      <c r="O179" s="434"/>
      <c r="P179" s="434"/>
      <c r="Q179" s="434"/>
      <c r="R179" s="434"/>
      <c r="S179" s="434"/>
      <c r="T179" s="434"/>
      <c r="U179" s="434"/>
    </row>
    <row r="180">
      <c r="A180" s="434"/>
      <c r="B180" s="434"/>
      <c r="C180" s="434"/>
      <c r="D180" s="434"/>
      <c r="E180" s="434"/>
      <c r="F180" s="434"/>
      <c r="G180" s="434"/>
      <c r="H180" s="434"/>
      <c r="I180" s="434"/>
      <c r="J180" s="434"/>
      <c r="K180" s="434"/>
      <c r="L180" s="434"/>
      <c r="M180" s="434"/>
      <c r="N180" s="434"/>
      <c r="O180" s="434"/>
      <c r="P180" s="434"/>
      <c r="Q180" s="434"/>
      <c r="R180" s="434"/>
      <c r="S180" s="434"/>
      <c r="T180" s="434"/>
      <c r="U180" s="434"/>
    </row>
    <row r="181">
      <c r="A181" s="434"/>
      <c r="B181" s="434"/>
      <c r="C181" s="434"/>
      <c r="D181" s="434"/>
      <c r="E181" s="434"/>
      <c r="F181" s="434"/>
      <c r="G181" s="434"/>
      <c r="H181" s="434"/>
      <c r="I181" s="434"/>
      <c r="J181" s="434"/>
      <c r="K181" s="434"/>
      <c r="L181" s="434"/>
      <c r="M181" s="434"/>
      <c r="N181" s="434"/>
      <c r="O181" s="434"/>
      <c r="P181" s="434"/>
      <c r="Q181" s="434"/>
      <c r="R181" s="434"/>
      <c r="S181" s="434"/>
      <c r="T181" s="434"/>
      <c r="U181" s="434"/>
    </row>
    <row r="182">
      <c r="A182" s="434"/>
      <c r="B182" s="434"/>
      <c r="C182" s="434"/>
      <c r="D182" s="434"/>
      <c r="E182" s="434"/>
      <c r="F182" s="434"/>
      <c r="G182" s="434"/>
      <c r="H182" s="434"/>
      <c r="I182" s="434"/>
      <c r="J182" s="434"/>
      <c r="K182" s="434"/>
      <c r="L182" s="434"/>
      <c r="M182" s="434"/>
      <c r="N182" s="434"/>
      <c r="O182" s="434"/>
      <c r="P182" s="434"/>
      <c r="Q182" s="434"/>
      <c r="R182" s="434"/>
      <c r="S182" s="434"/>
      <c r="T182" s="434"/>
      <c r="U182" s="434"/>
    </row>
    <row r="183">
      <c r="A183" s="434"/>
      <c r="B183" s="434"/>
      <c r="C183" s="434"/>
      <c r="D183" s="434"/>
      <c r="E183" s="434"/>
      <c r="F183" s="434"/>
      <c r="G183" s="434"/>
      <c r="H183" s="434"/>
      <c r="I183" s="434"/>
      <c r="J183" s="434"/>
      <c r="K183" s="434"/>
      <c r="L183" s="434"/>
      <c r="M183" s="434"/>
      <c r="N183" s="434"/>
      <c r="O183" s="434"/>
      <c r="P183" s="434"/>
      <c r="Q183" s="434"/>
      <c r="R183" s="434"/>
      <c r="S183" s="434"/>
      <c r="T183" s="434"/>
      <c r="U183" s="434"/>
    </row>
    <row r="184">
      <c r="A184" s="434"/>
      <c r="B184" s="434"/>
      <c r="C184" s="434"/>
      <c r="D184" s="434"/>
      <c r="E184" s="434"/>
      <c r="F184" s="434"/>
      <c r="G184" s="434"/>
      <c r="H184" s="434"/>
      <c r="I184" s="434"/>
      <c r="J184" s="434"/>
      <c r="K184" s="434"/>
      <c r="L184" s="434"/>
      <c r="M184" s="434"/>
      <c r="N184" s="434"/>
      <c r="O184" s="434"/>
      <c r="P184" s="434"/>
      <c r="Q184" s="434"/>
      <c r="R184" s="434"/>
      <c r="S184" s="434"/>
      <c r="T184" s="434"/>
      <c r="U184" s="434"/>
    </row>
    <row r="185">
      <c r="A185" s="434"/>
      <c r="B185" s="434"/>
      <c r="C185" s="434"/>
      <c r="D185" s="434"/>
      <c r="E185" s="434"/>
      <c r="F185" s="434"/>
      <c r="G185" s="434"/>
      <c r="H185" s="434"/>
      <c r="I185" s="434"/>
      <c r="J185" s="434"/>
      <c r="K185" s="434"/>
      <c r="L185" s="434"/>
      <c r="M185" s="434"/>
      <c r="N185" s="434"/>
      <c r="O185" s="434"/>
      <c r="P185" s="434"/>
      <c r="Q185" s="434"/>
      <c r="R185" s="434"/>
      <c r="S185" s="434"/>
      <c r="T185" s="434"/>
      <c r="U185" s="434"/>
    </row>
    <row r="186">
      <c r="A186" s="434"/>
      <c r="B186" s="434"/>
      <c r="C186" s="434"/>
      <c r="D186" s="434"/>
      <c r="E186" s="434"/>
      <c r="F186" s="434"/>
      <c r="G186" s="434"/>
      <c r="H186" s="434"/>
      <c r="I186" s="434"/>
      <c r="J186" s="434"/>
      <c r="K186" s="434"/>
      <c r="L186" s="434"/>
      <c r="M186" s="434"/>
      <c r="N186" s="434"/>
      <c r="O186" s="434"/>
      <c r="P186" s="434"/>
      <c r="Q186" s="434"/>
      <c r="R186" s="434"/>
      <c r="S186" s="434"/>
      <c r="T186" s="434"/>
      <c r="U186" s="434"/>
    </row>
    <row r="187">
      <c r="A187" s="434"/>
      <c r="B187" s="434"/>
      <c r="C187" s="434"/>
      <c r="D187" s="434"/>
      <c r="E187" s="434"/>
      <c r="F187" s="434"/>
      <c r="G187" s="434"/>
      <c r="H187" s="434"/>
      <c r="I187" s="434"/>
      <c r="J187" s="434"/>
      <c r="K187" s="434"/>
      <c r="L187" s="434"/>
      <c r="M187" s="434"/>
      <c r="N187" s="434"/>
      <c r="O187" s="434"/>
      <c r="P187" s="434"/>
      <c r="Q187" s="434"/>
      <c r="R187" s="434"/>
      <c r="S187" s="434"/>
      <c r="T187" s="434"/>
      <c r="U187" s="434"/>
    </row>
    <row r="188">
      <c r="A188" s="434"/>
      <c r="B188" s="434"/>
      <c r="C188" s="434"/>
      <c r="D188" s="434"/>
      <c r="E188" s="434"/>
      <c r="F188" s="434"/>
      <c r="G188" s="434"/>
      <c r="H188" s="434"/>
      <c r="I188" s="434"/>
      <c r="J188" s="434"/>
      <c r="K188" s="434"/>
      <c r="L188" s="434"/>
      <c r="M188" s="434"/>
      <c r="N188" s="434"/>
      <c r="O188" s="434"/>
      <c r="P188" s="434"/>
      <c r="Q188" s="434"/>
      <c r="R188" s="434"/>
      <c r="S188" s="434"/>
      <c r="T188" s="434"/>
      <c r="U188" s="434"/>
    </row>
    <row r="189">
      <c r="A189" s="434"/>
      <c r="B189" s="434"/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</row>
    <row r="190">
      <c r="A190" s="434"/>
      <c r="B190" s="434"/>
      <c r="C190" s="434"/>
      <c r="D190" s="434"/>
      <c r="E190" s="434"/>
      <c r="F190" s="434"/>
      <c r="G190" s="434"/>
      <c r="H190" s="434"/>
      <c r="I190" s="434"/>
      <c r="J190" s="434"/>
      <c r="K190" s="434"/>
      <c r="L190" s="434"/>
      <c r="M190" s="434"/>
      <c r="N190" s="434"/>
      <c r="O190" s="434"/>
      <c r="P190" s="434"/>
      <c r="Q190" s="434"/>
      <c r="R190" s="434"/>
      <c r="S190" s="434"/>
      <c r="T190" s="434"/>
      <c r="U190" s="434"/>
    </row>
    <row r="191">
      <c r="A191" s="434"/>
      <c r="B191" s="434"/>
      <c r="C191" s="434"/>
      <c r="D191" s="434"/>
      <c r="E191" s="434"/>
      <c r="F191" s="434"/>
      <c r="G191" s="434"/>
      <c r="H191" s="434"/>
      <c r="I191" s="434"/>
      <c r="J191" s="434"/>
      <c r="K191" s="434"/>
      <c r="L191" s="434"/>
      <c r="M191" s="434"/>
      <c r="N191" s="434"/>
      <c r="O191" s="434"/>
      <c r="P191" s="434"/>
      <c r="Q191" s="434"/>
      <c r="R191" s="434"/>
      <c r="S191" s="434"/>
      <c r="T191" s="434"/>
      <c r="U191" s="434"/>
    </row>
    <row r="192">
      <c r="A192" s="434"/>
      <c r="B192" s="434"/>
      <c r="C192" s="434"/>
      <c r="D192" s="434"/>
      <c r="E192" s="434"/>
      <c r="F192" s="434"/>
      <c r="G192" s="434"/>
      <c r="H192" s="434"/>
      <c r="I192" s="434"/>
      <c r="J192" s="434"/>
      <c r="K192" s="434"/>
      <c r="L192" s="434"/>
      <c r="M192" s="434"/>
      <c r="N192" s="434"/>
      <c r="O192" s="434"/>
      <c r="P192" s="434"/>
      <c r="Q192" s="434"/>
      <c r="R192" s="434"/>
      <c r="S192" s="434"/>
      <c r="T192" s="434"/>
      <c r="U192" s="434"/>
    </row>
    <row r="193">
      <c r="A193" s="434"/>
      <c r="B193" s="434"/>
      <c r="C193" s="434"/>
      <c r="D193" s="434"/>
      <c r="E193" s="434"/>
      <c r="F193" s="434"/>
      <c r="G193" s="434"/>
      <c r="H193" s="434"/>
      <c r="I193" s="434"/>
      <c r="J193" s="434"/>
      <c r="K193" s="434"/>
      <c r="L193" s="434"/>
      <c r="M193" s="434"/>
      <c r="N193" s="434"/>
      <c r="O193" s="434"/>
      <c r="P193" s="434"/>
      <c r="Q193" s="434"/>
      <c r="R193" s="434"/>
      <c r="S193" s="434"/>
      <c r="T193" s="434"/>
      <c r="U193" s="434"/>
    </row>
    <row r="194">
      <c r="A194" s="434"/>
      <c r="B194" s="434"/>
      <c r="C194" s="434"/>
      <c r="D194" s="434"/>
      <c r="E194" s="434"/>
      <c r="F194" s="434"/>
      <c r="G194" s="434"/>
      <c r="H194" s="434"/>
      <c r="I194" s="434"/>
      <c r="J194" s="434"/>
      <c r="K194" s="434"/>
      <c r="L194" s="434"/>
      <c r="M194" s="434"/>
      <c r="N194" s="434"/>
      <c r="O194" s="434"/>
      <c r="P194" s="434"/>
      <c r="Q194" s="434"/>
      <c r="R194" s="434"/>
      <c r="S194" s="434"/>
      <c r="T194" s="434"/>
      <c r="U194" s="434"/>
    </row>
    <row r="195">
      <c r="A195" s="434"/>
      <c r="B195" s="434"/>
      <c r="C195" s="434"/>
      <c r="D195" s="434"/>
      <c r="E195" s="434"/>
      <c r="F195" s="434"/>
      <c r="G195" s="434"/>
      <c r="H195" s="434"/>
      <c r="I195" s="434"/>
      <c r="J195" s="434"/>
      <c r="K195" s="434"/>
      <c r="L195" s="434"/>
      <c r="M195" s="434"/>
      <c r="N195" s="434"/>
      <c r="O195" s="434"/>
      <c r="P195" s="434"/>
      <c r="Q195" s="434"/>
      <c r="R195" s="434"/>
      <c r="S195" s="434"/>
      <c r="T195" s="434"/>
      <c r="U195" s="434"/>
    </row>
    <row r="196">
      <c r="A196" s="434"/>
      <c r="B196" s="434"/>
      <c r="C196" s="434"/>
      <c r="D196" s="434"/>
      <c r="E196" s="434"/>
      <c r="F196" s="434"/>
      <c r="G196" s="434"/>
      <c r="H196" s="434"/>
      <c r="I196" s="434"/>
      <c r="J196" s="434"/>
      <c r="K196" s="434"/>
      <c r="L196" s="434"/>
      <c r="M196" s="434"/>
      <c r="N196" s="434"/>
      <c r="O196" s="434"/>
      <c r="P196" s="434"/>
      <c r="Q196" s="434"/>
      <c r="R196" s="434"/>
      <c r="S196" s="434"/>
      <c r="T196" s="434"/>
      <c r="U196" s="434"/>
    </row>
    <row r="197">
      <c r="A197" s="434"/>
      <c r="B197" s="434"/>
      <c r="C197" s="434"/>
      <c r="D197" s="434"/>
      <c r="E197" s="434"/>
      <c r="F197" s="434"/>
      <c r="G197" s="434"/>
      <c r="H197" s="434"/>
      <c r="I197" s="434"/>
      <c r="J197" s="434"/>
      <c r="K197" s="434"/>
      <c r="L197" s="434"/>
      <c r="M197" s="434"/>
      <c r="N197" s="434"/>
      <c r="O197" s="434"/>
      <c r="P197" s="434"/>
      <c r="Q197" s="434"/>
      <c r="R197" s="434"/>
      <c r="S197" s="434"/>
      <c r="T197" s="434"/>
      <c r="U197" s="434"/>
    </row>
    <row r="198">
      <c r="A198" s="434"/>
      <c r="B198" s="434"/>
      <c r="C198" s="434"/>
      <c r="D198" s="434"/>
      <c r="E198" s="434"/>
      <c r="F198" s="434"/>
      <c r="G198" s="434"/>
      <c r="H198" s="434"/>
      <c r="I198" s="434"/>
      <c r="J198" s="434"/>
      <c r="K198" s="434"/>
      <c r="L198" s="434"/>
      <c r="M198" s="434"/>
      <c r="N198" s="434"/>
      <c r="O198" s="434"/>
      <c r="P198" s="434"/>
      <c r="Q198" s="434"/>
      <c r="R198" s="434"/>
      <c r="S198" s="434"/>
      <c r="T198" s="434"/>
      <c r="U198" s="434"/>
    </row>
    <row r="199">
      <c r="A199" s="434"/>
      <c r="B199" s="434"/>
      <c r="C199" s="434"/>
      <c r="D199" s="434"/>
      <c r="E199" s="434"/>
      <c r="F199" s="434"/>
      <c r="G199" s="434"/>
      <c r="H199" s="434"/>
      <c r="I199" s="434"/>
      <c r="J199" s="434"/>
      <c r="K199" s="434"/>
      <c r="L199" s="434"/>
      <c r="M199" s="434"/>
      <c r="N199" s="434"/>
      <c r="O199" s="434"/>
      <c r="P199" s="434"/>
      <c r="Q199" s="434"/>
      <c r="R199" s="434"/>
      <c r="S199" s="434"/>
      <c r="T199" s="434"/>
      <c r="U199" s="434"/>
    </row>
    <row r="200">
      <c r="A200" s="434"/>
      <c r="B200" s="434"/>
      <c r="C200" s="434"/>
      <c r="D200" s="434"/>
      <c r="E200" s="434"/>
      <c r="F200" s="434"/>
      <c r="G200" s="434"/>
      <c r="H200" s="434"/>
      <c r="I200" s="434"/>
      <c r="J200" s="434"/>
      <c r="K200" s="434"/>
      <c r="L200" s="434"/>
      <c r="M200" s="434"/>
      <c r="N200" s="434"/>
      <c r="O200" s="434"/>
      <c r="P200" s="434"/>
      <c r="Q200" s="434"/>
      <c r="R200" s="434"/>
      <c r="S200" s="434"/>
      <c r="T200" s="434"/>
      <c r="U200" s="434"/>
    </row>
    <row r="201">
      <c r="A201" s="434"/>
      <c r="B201" s="434"/>
      <c r="C201" s="434"/>
      <c r="D201" s="434"/>
      <c r="E201" s="434"/>
      <c r="F201" s="434"/>
      <c r="G201" s="434"/>
      <c r="H201" s="434"/>
      <c r="I201" s="434"/>
      <c r="J201" s="434"/>
      <c r="K201" s="434"/>
      <c r="L201" s="434"/>
      <c r="M201" s="434"/>
      <c r="N201" s="434"/>
      <c r="O201" s="434"/>
      <c r="P201" s="434"/>
      <c r="Q201" s="434"/>
      <c r="R201" s="434"/>
      <c r="S201" s="434"/>
      <c r="T201" s="434"/>
      <c r="U201" s="434"/>
    </row>
    <row r="202">
      <c r="A202" s="434"/>
      <c r="B202" s="434"/>
      <c r="C202" s="434"/>
      <c r="D202" s="434"/>
      <c r="E202" s="434"/>
      <c r="F202" s="434"/>
      <c r="G202" s="434"/>
      <c r="H202" s="434"/>
      <c r="I202" s="434"/>
      <c r="J202" s="434"/>
      <c r="K202" s="434"/>
      <c r="L202" s="434"/>
      <c r="M202" s="434"/>
      <c r="N202" s="434"/>
      <c r="O202" s="434"/>
      <c r="P202" s="434"/>
      <c r="Q202" s="434"/>
      <c r="R202" s="434"/>
      <c r="S202" s="434"/>
      <c r="T202" s="434"/>
      <c r="U202" s="434"/>
    </row>
    <row r="203">
      <c r="A203" s="434"/>
      <c r="B203" s="434"/>
      <c r="C203" s="434"/>
      <c r="D203" s="434"/>
      <c r="E203" s="434"/>
      <c r="F203" s="434"/>
      <c r="G203" s="434"/>
      <c r="H203" s="434"/>
      <c r="I203" s="434"/>
      <c r="J203" s="434"/>
      <c r="K203" s="434"/>
      <c r="L203" s="434"/>
      <c r="M203" s="434"/>
      <c r="N203" s="434"/>
      <c r="O203" s="434"/>
      <c r="P203" s="434"/>
      <c r="Q203" s="434"/>
      <c r="R203" s="434"/>
      <c r="S203" s="434"/>
      <c r="T203" s="434"/>
      <c r="U203" s="434"/>
    </row>
    <row r="204">
      <c r="A204" s="434"/>
      <c r="B204" s="434"/>
      <c r="C204" s="434"/>
      <c r="D204" s="434"/>
      <c r="E204" s="434"/>
      <c r="F204" s="434"/>
      <c r="G204" s="434"/>
      <c r="H204" s="434"/>
      <c r="I204" s="434"/>
      <c r="J204" s="434"/>
      <c r="K204" s="434"/>
      <c r="L204" s="434"/>
      <c r="M204" s="434"/>
      <c r="N204" s="434"/>
      <c r="O204" s="434"/>
      <c r="P204" s="434"/>
      <c r="Q204" s="434"/>
      <c r="R204" s="434"/>
      <c r="S204" s="434"/>
      <c r="T204" s="434"/>
      <c r="U204" s="434"/>
    </row>
    <row r="205">
      <c r="A205" s="434"/>
      <c r="B205" s="434"/>
      <c r="C205" s="434"/>
      <c r="D205" s="434"/>
      <c r="E205" s="434"/>
      <c r="F205" s="434"/>
      <c r="G205" s="434"/>
      <c r="H205" s="434"/>
      <c r="I205" s="434"/>
      <c r="J205" s="434"/>
      <c r="K205" s="434"/>
      <c r="L205" s="434"/>
      <c r="M205" s="434"/>
      <c r="N205" s="434"/>
      <c r="O205" s="434"/>
      <c r="P205" s="434"/>
      <c r="Q205" s="434"/>
      <c r="R205" s="434"/>
      <c r="S205" s="434"/>
      <c r="T205" s="434"/>
      <c r="U205" s="434"/>
    </row>
    <row r="206">
      <c r="A206" s="434"/>
      <c r="B206" s="434"/>
      <c r="C206" s="434"/>
      <c r="D206" s="434"/>
      <c r="E206" s="434"/>
      <c r="F206" s="434"/>
      <c r="G206" s="434"/>
      <c r="H206" s="434"/>
      <c r="I206" s="434"/>
      <c r="J206" s="434"/>
      <c r="K206" s="434"/>
      <c r="L206" s="434"/>
      <c r="M206" s="434"/>
      <c r="N206" s="434"/>
      <c r="O206" s="434"/>
      <c r="P206" s="434"/>
      <c r="Q206" s="434"/>
      <c r="R206" s="434"/>
      <c r="S206" s="434"/>
      <c r="T206" s="434"/>
      <c r="U206" s="434"/>
    </row>
    <row r="207">
      <c r="A207" s="434"/>
      <c r="B207" s="434"/>
      <c r="C207" s="434"/>
      <c r="D207" s="434"/>
      <c r="E207" s="434"/>
      <c r="F207" s="434"/>
      <c r="G207" s="434"/>
      <c r="H207" s="434"/>
      <c r="I207" s="434"/>
      <c r="J207" s="434"/>
      <c r="K207" s="434"/>
      <c r="L207" s="434"/>
      <c r="M207" s="434"/>
      <c r="N207" s="434"/>
      <c r="O207" s="434"/>
      <c r="P207" s="434"/>
      <c r="Q207" s="434"/>
      <c r="R207" s="434"/>
      <c r="S207" s="434"/>
      <c r="T207" s="434"/>
      <c r="U207" s="434"/>
    </row>
    <row r="208">
      <c r="A208" s="434"/>
      <c r="B208" s="434"/>
      <c r="C208" s="434"/>
      <c r="D208" s="434"/>
      <c r="E208" s="434"/>
      <c r="F208" s="434"/>
      <c r="G208" s="434"/>
      <c r="H208" s="434"/>
      <c r="I208" s="434"/>
      <c r="J208" s="434"/>
      <c r="K208" s="434"/>
      <c r="L208" s="434"/>
      <c r="M208" s="434"/>
      <c r="N208" s="434"/>
      <c r="O208" s="434"/>
      <c r="P208" s="434"/>
      <c r="Q208" s="434"/>
      <c r="R208" s="434"/>
      <c r="S208" s="434"/>
      <c r="T208" s="434"/>
      <c r="U208" s="434"/>
    </row>
    <row r="209">
      <c r="A209" s="434"/>
      <c r="B209" s="434"/>
      <c r="C209" s="434"/>
      <c r="D209" s="434"/>
      <c r="E209" s="434"/>
      <c r="F209" s="434"/>
      <c r="G209" s="434"/>
      <c r="H209" s="434"/>
      <c r="I209" s="434"/>
      <c r="J209" s="434"/>
      <c r="K209" s="434"/>
      <c r="L209" s="434"/>
      <c r="M209" s="434"/>
      <c r="N209" s="434"/>
      <c r="O209" s="434"/>
      <c r="P209" s="434"/>
      <c r="Q209" s="434"/>
      <c r="R209" s="434"/>
      <c r="S209" s="434"/>
      <c r="T209" s="434"/>
      <c r="U209" s="434"/>
    </row>
    <row r="210">
      <c r="A210" s="434"/>
      <c r="B210" s="434"/>
      <c r="C210" s="434"/>
      <c r="D210" s="434"/>
      <c r="E210" s="434"/>
      <c r="F210" s="434"/>
      <c r="G210" s="434"/>
      <c r="H210" s="434"/>
      <c r="I210" s="434"/>
      <c r="J210" s="434"/>
      <c r="K210" s="434"/>
      <c r="L210" s="434"/>
      <c r="M210" s="434"/>
      <c r="N210" s="434"/>
      <c r="O210" s="434"/>
      <c r="P210" s="434"/>
      <c r="Q210" s="434"/>
      <c r="R210" s="434"/>
      <c r="S210" s="434"/>
      <c r="T210" s="434"/>
      <c r="U210" s="434"/>
    </row>
    <row r="211">
      <c r="A211" s="434"/>
      <c r="B211" s="434"/>
      <c r="C211" s="434"/>
      <c r="D211" s="434"/>
      <c r="E211" s="434"/>
      <c r="F211" s="434"/>
      <c r="G211" s="434"/>
      <c r="H211" s="434"/>
      <c r="I211" s="434"/>
      <c r="J211" s="434"/>
      <c r="K211" s="434"/>
      <c r="L211" s="434"/>
      <c r="M211" s="434"/>
      <c r="N211" s="434"/>
      <c r="O211" s="434"/>
      <c r="P211" s="434"/>
      <c r="Q211" s="434"/>
      <c r="R211" s="434"/>
      <c r="S211" s="434"/>
      <c r="T211" s="434"/>
      <c r="U211" s="434"/>
    </row>
    <row r="212">
      <c r="A212" s="434"/>
      <c r="B212" s="434"/>
      <c r="C212" s="434"/>
      <c r="D212" s="434"/>
      <c r="E212" s="434"/>
      <c r="F212" s="434"/>
      <c r="G212" s="434"/>
      <c r="H212" s="434"/>
      <c r="I212" s="434"/>
      <c r="J212" s="434"/>
      <c r="K212" s="434"/>
      <c r="L212" s="434"/>
      <c r="M212" s="434"/>
      <c r="N212" s="434"/>
      <c r="O212" s="434"/>
      <c r="P212" s="434"/>
      <c r="Q212" s="434"/>
      <c r="R212" s="434"/>
      <c r="S212" s="434"/>
      <c r="T212" s="434"/>
      <c r="U212" s="434"/>
    </row>
    <row r="213">
      <c r="A213" s="434"/>
      <c r="B213" s="434"/>
      <c r="C213" s="434"/>
      <c r="D213" s="434"/>
      <c r="E213" s="434"/>
      <c r="F213" s="434"/>
      <c r="G213" s="434"/>
      <c r="H213" s="434"/>
      <c r="I213" s="434"/>
      <c r="J213" s="434"/>
      <c r="K213" s="434"/>
      <c r="L213" s="434"/>
      <c r="M213" s="434"/>
      <c r="N213" s="434"/>
      <c r="O213" s="434"/>
      <c r="P213" s="434"/>
      <c r="Q213" s="434"/>
      <c r="R213" s="434"/>
      <c r="S213" s="434"/>
      <c r="T213" s="434"/>
      <c r="U213" s="434"/>
    </row>
    <row r="214">
      <c r="A214" s="434"/>
      <c r="B214" s="434"/>
      <c r="C214" s="434"/>
      <c r="D214" s="434"/>
      <c r="E214" s="434"/>
      <c r="F214" s="434"/>
      <c r="G214" s="434"/>
      <c r="H214" s="434"/>
      <c r="I214" s="434"/>
      <c r="J214" s="434"/>
      <c r="K214" s="434"/>
      <c r="L214" s="434"/>
      <c r="M214" s="434"/>
      <c r="N214" s="434"/>
      <c r="O214" s="434"/>
      <c r="P214" s="434"/>
      <c r="Q214" s="434"/>
      <c r="R214" s="434"/>
      <c r="S214" s="434"/>
      <c r="T214" s="434"/>
      <c r="U214" s="434"/>
    </row>
    <row r="215">
      <c r="A215" s="434"/>
      <c r="B215" s="434"/>
      <c r="C215" s="434"/>
      <c r="D215" s="434"/>
      <c r="E215" s="434"/>
      <c r="F215" s="434"/>
      <c r="G215" s="434"/>
      <c r="H215" s="434"/>
      <c r="I215" s="434"/>
      <c r="J215" s="434"/>
      <c r="K215" s="434"/>
      <c r="L215" s="434"/>
      <c r="M215" s="434"/>
      <c r="N215" s="434"/>
      <c r="O215" s="434"/>
      <c r="P215" s="434"/>
      <c r="Q215" s="434"/>
      <c r="R215" s="434"/>
      <c r="S215" s="434"/>
      <c r="T215" s="434"/>
      <c r="U215" s="434"/>
    </row>
    <row r="216">
      <c r="A216" s="434"/>
      <c r="B216" s="434"/>
      <c r="C216" s="434"/>
      <c r="D216" s="434"/>
      <c r="E216" s="434"/>
      <c r="F216" s="434"/>
      <c r="G216" s="434"/>
      <c r="H216" s="434"/>
      <c r="I216" s="434"/>
      <c r="J216" s="434"/>
      <c r="K216" s="434"/>
      <c r="L216" s="434"/>
      <c r="M216" s="434"/>
      <c r="N216" s="434"/>
      <c r="O216" s="434"/>
      <c r="P216" s="434"/>
      <c r="Q216" s="434"/>
      <c r="R216" s="434"/>
      <c r="S216" s="434"/>
      <c r="T216" s="434"/>
      <c r="U216" s="434"/>
    </row>
    <row r="217">
      <c r="A217" s="434"/>
      <c r="B217" s="434"/>
      <c r="C217" s="434"/>
      <c r="D217" s="434"/>
      <c r="E217" s="434"/>
      <c r="F217" s="434"/>
      <c r="G217" s="434"/>
      <c r="H217" s="434"/>
      <c r="I217" s="434"/>
      <c r="J217" s="434"/>
      <c r="K217" s="434"/>
      <c r="L217" s="434"/>
      <c r="M217" s="434"/>
      <c r="N217" s="434"/>
      <c r="O217" s="434"/>
      <c r="P217" s="434"/>
      <c r="Q217" s="434"/>
      <c r="R217" s="434"/>
      <c r="S217" s="434"/>
      <c r="T217" s="434"/>
      <c r="U217" s="434"/>
    </row>
    <row r="218">
      <c r="A218" s="434"/>
      <c r="B218" s="434"/>
      <c r="C218" s="434"/>
      <c r="D218" s="434"/>
      <c r="E218" s="434"/>
      <c r="F218" s="434"/>
      <c r="G218" s="434"/>
      <c r="H218" s="434"/>
      <c r="I218" s="434"/>
      <c r="J218" s="434"/>
      <c r="K218" s="434"/>
      <c r="L218" s="434"/>
      <c r="M218" s="434"/>
      <c r="N218" s="434"/>
      <c r="O218" s="434"/>
      <c r="P218" s="434"/>
      <c r="Q218" s="434"/>
      <c r="R218" s="434"/>
      <c r="S218" s="434"/>
      <c r="T218" s="434"/>
      <c r="U218" s="434"/>
    </row>
    <row r="219">
      <c r="A219" s="434"/>
      <c r="B219" s="434"/>
      <c r="C219" s="434"/>
      <c r="D219" s="434"/>
      <c r="E219" s="434"/>
      <c r="F219" s="434"/>
      <c r="G219" s="434"/>
      <c r="H219" s="434"/>
      <c r="I219" s="434"/>
      <c r="J219" s="434"/>
      <c r="K219" s="434"/>
      <c r="L219" s="434"/>
      <c r="M219" s="434"/>
      <c r="N219" s="434"/>
      <c r="O219" s="434"/>
      <c r="P219" s="434"/>
      <c r="Q219" s="434"/>
      <c r="R219" s="434"/>
      <c r="S219" s="434"/>
      <c r="T219" s="434"/>
      <c r="U219" s="434"/>
    </row>
    <row r="220">
      <c r="A220" s="434"/>
      <c r="B220" s="434"/>
      <c r="C220" s="434"/>
      <c r="D220" s="434"/>
      <c r="E220" s="434"/>
      <c r="F220" s="434"/>
      <c r="G220" s="434"/>
      <c r="H220" s="434"/>
      <c r="I220" s="434"/>
      <c r="J220" s="434"/>
      <c r="K220" s="434"/>
      <c r="L220" s="434"/>
      <c r="M220" s="434"/>
      <c r="N220" s="434"/>
      <c r="O220" s="434"/>
      <c r="P220" s="434"/>
      <c r="Q220" s="434"/>
      <c r="R220" s="434"/>
      <c r="S220" s="434"/>
      <c r="T220" s="434"/>
      <c r="U220" s="434"/>
    </row>
    <row r="221">
      <c r="A221" s="434"/>
      <c r="B221" s="434"/>
      <c r="C221" s="434"/>
      <c r="D221" s="434"/>
      <c r="E221" s="434"/>
      <c r="F221" s="434"/>
      <c r="G221" s="434"/>
      <c r="H221" s="434"/>
      <c r="I221" s="434"/>
      <c r="J221" s="434"/>
      <c r="K221" s="434"/>
      <c r="L221" s="434"/>
      <c r="M221" s="434"/>
      <c r="N221" s="434"/>
      <c r="O221" s="434"/>
      <c r="P221" s="434"/>
      <c r="Q221" s="434"/>
      <c r="R221" s="434"/>
      <c r="S221" s="434"/>
      <c r="T221" s="434"/>
      <c r="U221" s="434"/>
    </row>
    <row r="222">
      <c r="A222" s="434"/>
      <c r="B222" s="434"/>
      <c r="C222" s="434"/>
      <c r="D222" s="434"/>
      <c r="E222" s="434"/>
      <c r="F222" s="434"/>
      <c r="G222" s="434"/>
      <c r="H222" s="434"/>
      <c r="I222" s="434"/>
      <c r="J222" s="434"/>
      <c r="K222" s="434"/>
      <c r="L222" s="434"/>
      <c r="M222" s="434"/>
      <c r="N222" s="434"/>
      <c r="O222" s="434"/>
      <c r="P222" s="434"/>
      <c r="Q222" s="434"/>
      <c r="R222" s="434"/>
      <c r="S222" s="434"/>
      <c r="T222" s="434"/>
      <c r="U222" s="434"/>
    </row>
    <row r="223">
      <c r="A223" s="434"/>
      <c r="B223" s="434"/>
      <c r="C223" s="434"/>
      <c r="D223" s="434"/>
      <c r="E223" s="434"/>
      <c r="F223" s="434"/>
      <c r="G223" s="434"/>
      <c r="H223" s="434"/>
      <c r="I223" s="434"/>
      <c r="J223" s="434"/>
      <c r="K223" s="434"/>
      <c r="L223" s="434"/>
      <c r="M223" s="434"/>
      <c r="N223" s="434"/>
      <c r="O223" s="434"/>
      <c r="P223" s="434"/>
      <c r="Q223" s="434"/>
      <c r="R223" s="434"/>
      <c r="S223" s="434"/>
      <c r="T223" s="434"/>
      <c r="U223" s="434"/>
    </row>
    <row r="224">
      <c r="A224" s="434"/>
      <c r="B224" s="434"/>
      <c r="C224" s="434"/>
      <c r="D224" s="434"/>
      <c r="E224" s="434"/>
      <c r="F224" s="434"/>
      <c r="G224" s="434"/>
      <c r="H224" s="434"/>
      <c r="I224" s="434"/>
      <c r="J224" s="434"/>
      <c r="K224" s="434"/>
      <c r="L224" s="434"/>
      <c r="M224" s="434"/>
      <c r="N224" s="434"/>
      <c r="O224" s="434"/>
      <c r="P224" s="434"/>
      <c r="Q224" s="434"/>
      <c r="R224" s="434"/>
      <c r="S224" s="434"/>
      <c r="T224" s="434"/>
      <c r="U224" s="434"/>
    </row>
    <row r="225">
      <c r="A225" s="434"/>
      <c r="B225" s="434"/>
      <c r="C225" s="434"/>
      <c r="D225" s="434"/>
      <c r="E225" s="434"/>
      <c r="F225" s="434"/>
      <c r="G225" s="434"/>
      <c r="H225" s="434"/>
      <c r="I225" s="434"/>
      <c r="J225" s="434"/>
      <c r="K225" s="434"/>
      <c r="L225" s="434"/>
      <c r="M225" s="434"/>
      <c r="N225" s="434"/>
      <c r="O225" s="434"/>
      <c r="P225" s="434"/>
      <c r="Q225" s="434"/>
      <c r="R225" s="434"/>
      <c r="S225" s="434"/>
      <c r="T225" s="434"/>
      <c r="U225" s="434"/>
    </row>
    <row r="226">
      <c r="A226" s="434"/>
      <c r="B226" s="434"/>
      <c r="C226" s="434"/>
      <c r="D226" s="434"/>
      <c r="E226" s="434"/>
      <c r="F226" s="434"/>
      <c r="G226" s="434"/>
      <c r="H226" s="434"/>
      <c r="I226" s="434"/>
      <c r="J226" s="434"/>
      <c r="K226" s="434"/>
      <c r="L226" s="434"/>
      <c r="M226" s="434"/>
      <c r="N226" s="434"/>
      <c r="O226" s="434"/>
      <c r="P226" s="434"/>
      <c r="Q226" s="434"/>
      <c r="R226" s="434"/>
      <c r="S226" s="434"/>
      <c r="T226" s="434"/>
      <c r="U226" s="434"/>
    </row>
    <row r="227">
      <c r="A227" s="434"/>
      <c r="B227" s="434"/>
      <c r="C227" s="434"/>
      <c r="D227" s="434"/>
      <c r="E227" s="434"/>
      <c r="F227" s="434"/>
      <c r="G227" s="434"/>
      <c r="H227" s="434"/>
      <c r="I227" s="434"/>
      <c r="J227" s="434"/>
      <c r="K227" s="434"/>
      <c r="L227" s="434"/>
      <c r="M227" s="434"/>
      <c r="N227" s="434"/>
      <c r="O227" s="434"/>
      <c r="P227" s="434"/>
      <c r="Q227" s="434"/>
      <c r="R227" s="434"/>
      <c r="S227" s="434"/>
      <c r="T227" s="434"/>
      <c r="U227" s="434"/>
    </row>
    <row r="228">
      <c r="A228" s="434"/>
      <c r="B228" s="434"/>
      <c r="C228" s="434"/>
      <c r="D228" s="434"/>
      <c r="E228" s="434"/>
      <c r="F228" s="434"/>
      <c r="G228" s="434"/>
      <c r="H228" s="434"/>
      <c r="I228" s="434"/>
      <c r="J228" s="434"/>
      <c r="K228" s="434"/>
      <c r="L228" s="434"/>
      <c r="M228" s="434"/>
      <c r="N228" s="434"/>
      <c r="O228" s="434"/>
      <c r="P228" s="434"/>
      <c r="Q228" s="434"/>
      <c r="R228" s="434"/>
      <c r="S228" s="434"/>
      <c r="T228" s="434"/>
      <c r="U228" s="434"/>
    </row>
    <row r="229">
      <c r="A229" s="434"/>
      <c r="B229" s="434"/>
      <c r="C229" s="434"/>
      <c r="D229" s="434"/>
      <c r="E229" s="434"/>
      <c r="F229" s="434"/>
      <c r="G229" s="434"/>
      <c r="H229" s="434"/>
      <c r="I229" s="434"/>
      <c r="J229" s="434"/>
      <c r="K229" s="434"/>
      <c r="L229" s="434"/>
      <c r="M229" s="434"/>
      <c r="N229" s="434"/>
      <c r="O229" s="434"/>
      <c r="P229" s="434"/>
      <c r="Q229" s="434"/>
      <c r="R229" s="434"/>
      <c r="S229" s="434"/>
      <c r="T229" s="434"/>
      <c r="U229" s="434"/>
    </row>
    <row r="230">
      <c r="A230" s="434"/>
      <c r="B230" s="434"/>
      <c r="C230" s="434"/>
      <c r="D230" s="434"/>
      <c r="E230" s="434"/>
      <c r="F230" s="434"/>
      <c r="G230" s="434"/>
      <c r="H230" s="434"/>
      <c r="I230" s="434"/>
      <c r="J230" s="434"/>
      <c r="K230" s="434"/>
      <c r="L230" s="434"/>
      <c r="M230" s="434"/>
      <c r="N230" s="434"/>
      <c r="O230" s="434"/>
      <c r="P230" s="434"/>
      <c r="Q230" s="434"/>
      <c r="R230" s="434"/>
      <c r="S230" s="434"/>
      <c r="T230" s="434"/>
      <c r="U230" s="434"/>
    </row>
    <row r="231">
      <c r="A231" s="434"/>
      <c r="B231" s="434"/>
      <c r="C231" s="434"/>
      <c r="D231" s="434"/>
      <c r="E231" s="434"/>
      <c r="F231" s="434"/>
      <c r="G231" s="434"/>
      <c r="H231" s="434"/>
      <c r="I231" s="434"/>
      <c r="J231" s="434"/>
      <c r="K231" s="434"/>
      <c r="L231" s="434"/>
      <c r="M231" s="434"/>
      <c r="N231" s="434"/>
      <c r="O231" s="434"/>
      <c r="P231" s="434"/>
      <c r="Q231" s="434"/>
      <c r="R231" s="434"/>
      <c r="S231" s="434"/>
      <c r="T231" s="434"/>
      <c r="U231" s="434"/>
    </row>
    <row r="232">
      <c r="A232" s="434"/>
      <c r="B232" s="434"/>
      <c r="C232" s="434"/>
      <c r="D232" s="434"/>
      <c r="E232" s="434"/>
      <c r="F232" s="434"/>
      <c r="G232" s="434"/>
      <c r="H232" s="434"/>
      <c r="I232" s="434"/>
      <c r="J232" s="434"/>
      <c r="K232" s="434"/>
      <c r="L232" s="434"/>
      <c r="M232" s="434"/>
      <c r="N232" s="434"/>
      <c r="O232" s="434"/>
      <c r="P232" s="434"/>
      <c r="Q232" s="434"/>
      <c r="R232" s="434"/>
      <c r="S232" s="434"/>
      <c r="T232" s="434"/>
      <c r="U232" s="434"/>
    </row>
    <row r="233">
      <c r="A233" s="434"/>
      <c r="B233" s="434"/>
      <c r="C233" s="434"/>
      <c r="D233" s="434"/>
      <c r="E233" s="434"/>
      <c r="F233" s="434"/>
      <c r="G233" s="434"/>
      <c r="H233" s="434"/>
      <c r="I233" s="434"/>
      <c r="J233" s="434"/>
      <c r="K233" s="434"/>
      <c r="L233" s="434"/>
      <c r="M233" s="434"/>
      <c r="N233" s="434"/>
      <c r="O233" s="434"/>
      <c r="P233" s="434"/>
      <c r="Q233" s="434"/>
      <c r="R233" s="434"/>
      <c r="S233" s="434"/>
      <c r="T233" s="434"/>
      <c r="U233" s="434"/>
    </row>
    <row r="234">
      <c r="A234" s="434"/>
      <c r="B234" s="434"/>
      <c r="C234" s="434"/>
      <c r="D234" s="434"/>
      <c r="E234" s="434"/>
      <c r="F234" s="434"/>
      <c r="G234" s="434"/>
      <c r="H234" s="434"/>
      <c r="I234" s="434"/>
      <c r="J234" s="434"/>
      <c r="K234" s="434"/>
      <c r="L234" s="434"/>
      <c r="M234" s="434"/>
      <c r="N234" s="434"/>
      <c r="O234" s="434"/>
      <c r="P234" s="434"/>
      <c r="Q234" s="434"/>
      <c r="R234" s="434"/>
      <c r="S234" s="434"/>
      <c r="T234" s="434"/>
      <c r="U234" s="434"/>
    </row>
    <row r="235">
      <c r="A235" s="434"/>
      <c r="B235" s="434"/>
      <c r="C235" s="434"/>
      <c r="D235" s="434"/>
      <c r="E235" s="434"/>
      <c r="F235" s="434"/>
      <c r="G235" s="434"/>
      <c r="H235" s="434"/>
      <c r="I235" s="434"/>
      <c r="J235" s="434"/>
      <c r="K235" s="434"/>
      <c r="L235" s="434"/>
      <c r="M235" s="434"/>
      <c r="N235" s="434"/>
      <c r="O235" s="434"/>
      <c r="P235" s="434"/>
      <c r="Q235" s="434"/>
      <c r="R235" s="434"/>
      <c r="S235" s="434"/>
      <c r="T235" s="434"/>
      <c r="U235" s="434"/>
    </row>
    <row r="236">
      <c r="A236" s="434"/>
      <c r="B236" s="434"/>
      <c r="C236" s="434"/>
      <c r="D236" s="434"/>
      <c r="E236" s="434"/>
      <c r="F236" s="434"/>
      <c r="G236" s="434"/>
      <c r="H236" s="434"/>
      <c r="I236" s="434"/>
      <c r="J236" s="434"/>
      <c r="K236" s="434"/>
      <c r="L236" s="434"/>
      <c r="M236" s="434"/>
      <c r="N236" s="434"/>
      <c r="O236" s="434"/>
      <c r="P236" s="434"/>
      <c r="Q236" s="434"/>
      <c r="R236" s="434"/>
      <c r="S236" s="434"/>
      <c r="T236" s="434"/>
      <c r="U236" s="434"/>
    </row>
    <row r="237">
      <c r="A237" s="434"/>
      <c r="B237" s="434"/>
      <c r="C237" s="434"/>
      <c r="D237" s="434"/>
      <c r="E237" s="434"/>
      <c r="F237" s="434"/>
      <c r="G237" s="434"/>
      <c r="H237" s="434"/>
      <c r="I237" s="434"/>
      <c r="J237" s="434"/>
      <c r="K237" s="434"/>
      <c r="L237" s="434"/>
      <c r="M237" s="434"/>
      <c r="N237" s="434"/>
      <c r="O237" s="434"/>
      <c r="P237" s="434"/>
      <c r="Q237" s="434"/>
      <c r="R237" s="434"/>
      <c r="S237" s="434"/>
      <c r="T237" s="434"/>
      <c r="U237" s="434"/>
    </row>
    <row r="238">
      <c r="A238" s="434"/>
      <c r="B238" s="434"/>
      <c r="C238" s="434"/>
      <c r="D238" s="434"/>
      <c r="E238" s="434"/>
      <c r="F238" s="434"/>
      <c r="G238" s="434"/>
      <c r="H238" s="434"/>
      <c r="I238" s="434"/>
      <c r="J238" s="434"/>
      <c r="K238" s="434"/>
      <c r="L238" s="434"/>
      <c r="M238" s="434"/>
      <c r="N238" s="434"/>
      <c r="O238" s="434"/>
      <c r="P238" s="434"/>
      <c r="Q238" s="434"/>
      <c r="R238" s="434"/>
      <c r="S238" s="434"/>
      <c r="T238" s="434"/>
      <c r="U238" s="434"/>
    </row>
    <row r="239">
      <c r="A239" s="434"/>
      <c r="B239" s="434"/>
      <c r="C239" s="434"/>
      <c r="D239" s="434"/>
      <c r="E239" s="434"/>
      <c r="F239" s="434"/>
      <c r="G239" s="434"/>
      <c r="H239" s="434"/>
      <c r="I239" s="434"/>
      <c r="J239" s="434"/>
      <c r="K239" s="434"/>
      <c r="L239" s="434"/>
      <c r="M239" s="434"/>
      <c r="N239" s="434"/>
      <c r="O239" s="434"/>
      <c r="P239" s="434"/>
      <c r="Q239" s="434"/>
      <c r="R239" s="434"/>
      <c r="S239" s="434"/>
      <c r="T239" s="434"/>
      <c r="U239" s="434"/>
    </row>
    <row r="240">
      <c r="A240" s="434"/>
      <c r="B240" s="434"/>
      <c r="C240" s="434"/>
      <c r="D240" s="434"/>
      <c r="E240" s="434"/>
      <c r="F240" s="434"/>
      <c r="G240" s="434"/>
      <c r="H240" s="434"/>
      <c r="I240" s="434"/>
      <c r="J240" s="434"/>
      <c r="K240" s="434"/>
      <c r="L240" s="434"/>
      <c r="M240" s="434"/>
      <c r="N240" s="434"/>
      <c r="O240" s="434"/>
      <c r="P240" s="434"/>
      <c r="Q240" s="434"/>
      <c r="R240" s="434"/>
      <c r="S240" s="434"/>
      <c r="T240" s="434"/>
      <c r="U240" s="434"/>
    </row>
    <row r="241">
      <c r="A241" s="434"/>
      <c r="B241" s="434"/>
      <c r="C241" s="434"/>
      <c r="D241" s="434"/>
      <c r="E241" s="434"/>
      <c r="F241" s="434"/>
      <c r="G241" s="434"/>
      <c r="H241" s="434"/>
      <c r="I241" s="434"/>
      <c r="J241" s="434"/>
      <c r="K241" s="434"/>
      <c r="L241" s="434"/>
      <c r="M241" s="434"/>
      <c r="N241" s="434"/>
      <c r="O241" s="434"/>
      <c r="P241" s="434"/>
      <c r="Q241" s="434"/>
      <c r="R241" s="434"/>
      <c r="S241" s="434"/>
      <c r="T241" s="434"/>
      <c r="U241" s="434"/>
    </row>
    <row r="242">
      <c r="A242" s="434"/>
      <c r="B242" s="434"/>
      <c r="C242" s="434"/>
      <c r="D242" s="434"/>
      <c r="E242" s="434"/>
      <c r="F242" s="434"/>
      <c r="G242" s="434"/>
      <c r="H242" s="434"/>
      <c r="I242" s="434"/>
      <c r="J242" s="434"/>
      <c r="K242" s="434"/>
      <c r="L242" s="434"/>
      <c r="M242" s="434"/>
      <c r="N242" s="434"/>
      <c r="O242" s="434"/>
      <c r="P242" s="434"/>
      <c r="Q242" s="434"/>
      <c r="R242" s="434"/>
      <c r="S242" s="434"/>
      <c r="T242" s="434"/>
      <c r="U242" s="434"/>
    </row>
    <row r="243">
      <c r="A243" s="434"/>
      <c r="B243" s="434"/>
      <c r="C243" s="434"/>
      <c r="D243" s="434"/>
      <c r="E243" s="434"/>
      <c r="F243" s="434"/>
      <c r="G243" s="434"/>
      <c r="H243" s="434"/>
      <c r="I243" s="434"/>
      <c r="J243" s="434"/>
      <c r="K243" s="434"/>
      <c r="L243" s="434"/>
      <c r="M243" s="434"/>
      <c r="N243" s="434"/>
      <c r="O243" s="434"/>
      <c r="P243" s="434"/>
      <c r="Q243" s="434"/>
      <c r="R243" s="434"/>
      <c r="S243" s="434"/>
      <c r="T243" s="434"/>
      <c r="U243" s="434"/>
    </row>
    <row r="244">
      <c r="A244" s="434"/>
      <c r="B244" s="434"/>
      <c r="C244" s="434"/>
      <c r="D244" s="434"/>
      <c r="E244" s="434"/>
      <c r="F244" s="434"/>
      <c r="G244" s="434"/>
      <c r="H244" s="434"/>
      <c r="I244" s="434"/>
      <c r="J244" s="434"/>
      <c r="K244" s="434"/>
      <c r="L244" s="434"/>
      <c r="M244" s="434"/>
      <c r="N244" s="434"/>
      <c r="O244" s="434"/>
      <c r="P244" s="434"/>
      <c r="Q244" s="434"/>
      <c r="R244" s="434"/>
      <c r="S244" s="434"/>
      <c r="T244" s="434"/>
      <c r="U244" s="434"/>
    </row>
    <row r="245">
      <c r="A245" s="434"/>
      <c r="B245" s="434"/>
      <c r="C245" s="434"/>
      <c r="D245" s="434"/>
      <c r="E245" s="434"/>
      <c r="F245" s="434"/>
      <c r="G245" s="434"/>
      <c r="H245" s="434"/>
      <c r="I245" s="434"/>
      <c r="J245" s="434"/>
      <c r="K245" s="434"/>
      <c r="L245" s="434"/>
      <c r="M245" s="434"/>
      <c r="N245" s="434"/>
      <c r="O245" s="434"/>
      <c r="P245" s="434"/>
      <c r="Q245" s="434"/>
      <c r="R245" s="434"/>
      <c r="S245" s="434"/>
      <c r="T245" s="434"/>
      <c r="U245" s="434"/>
    </row>
    <row r="246">
      <c r="A246" s="434"/>
      <c r="B246" s="434"/>
      <c r="C246" s="434"/>
      <c r="D246" s="434"/>
      <c r="E246" s="434"/>
      <c r="F246" s="434"/>
      <c r="G246" s="434"/>
      <c r="H246" s="434"/>
      <c r="I246" s="434"/>
      <c r="J246" s="434"/>
      <c r="K246" s="434"/>
      <c r="L246" s="434"/>
      <c r="M246" s="434"/>
      <c r="N246" s="434"/>
      <c r="O246" s="434"/>
      <c r="P246" s="434"/>
      <c r="Q246" s="434"/>
      <c r="R246" s="434"/>
      <c r="S246" s="434"/>
      <c r="T246" s="434"/>
      <c r="U246" s="434"/>
    </row>
    <row r="247">
      <c r="A247" s="434"/>
      <c r="B247" s="434"/>
      <c r="C247" s="434"/>
      <c r="D247" s="434"/>
      <c r="E247" s="434"/>
      <c r="F247" s="434"/>
      <c r="G247" s="434"/>
      <c r="H247" s="434"/>
      <c r="I247" s="434"/>
      <c r="J247" s="434"/>
      <c r="K247" s="434"/>
      <c r="L247" s="434"/>
      <c r="M247" s="434"/>
      <c r="N247" s="434"/>
      <c r="O247" s="434"/>
      <c r="P247" s="434"/>
      <c r="Q247" s="434"/>
      <c r="R247" s="434"/>
      <c r="S247" s="434"/>
      <c r="T247" s="434"/>
      <c r="U247" s="434"/>
    </row>
    <row r="248">
      <c r="A248" s="434"/>
      <c r="B248" s="434"/>
      <c r="C248" s="434"/>
      <c r="D248" s="434"/>
      <c r="E248" s="434"/>
      <c r="F248" s="434"/>
      <c r="G248" s="434"/>
      <c r="H248" s="434"/>
      <c r="I248" s="434"/>
      <c r="J248" s="434"/>
      <c r="K248" s="434"/>
      <c r="L248" s="434"/>
      <c r="M248" s="434"/>
      <c r="N248" s="434"/>
      <c r="O248" s="434"/>
      <c r="P248" s="434"/>
      <c r="Q248" s="434"/>
      <c r="R248" s="434"/>
      <c r="S248" s="434"/>
      <c r="T248" s="434"/>
      <c r="U248" s="434"/>
    </row>
    <row r="249">
      <c r="A249" s="434"/>
      <c r="B249" s="434"/>
      <c r="C249" s="434"/>
      <c r="D249" s="434"/>
      <c r="E249" s="434"/>
      <c r="F249" s="434"/>
      <c r="G249" s="434"/>
      <c r="H249" s="434"/>
      <c r="I249" s="434"/>
      <c r="J249" s="434"/>
      <c r="K249" s="434"/>
      <c r="L249" s="434"/>
      <c r="M249" s="434"/>
      <c r="N249" s="434"/>
      <c r="O249" s="434"/>
      <c r="P249" s="434"/>
      <c r="Q249" s="434"/>
      <c r="R249" s="434"/>
      <c r="S249" s="434"/>
      <c r="T249" s="434"/>
      <c r="U249" s="434"/>
    </row>
    <row r="250">
      <c r="A250" s="434"/>
      <c r="B250" s="434"/>
      <c r="C250" s="434"/>
      <c r="D250" s="434"/>
      <c r="E250" s="434"/>
      <c r="F250" s="434"/>
      <c r="G250" s="434"/>
      <c r="H250" s="434"/>
      <c r="I250" s="434"/>
      <c r="J250" s="434"/>
      <c r="K250" s="434"/>
      <c r="L250" s="434"/>
      <c r="M250" s="434"/>
      <c r="N250" s="434"/>
      <c r="O250" s="434"/>
      <c r="P250" s="434"/>
      <c r="Q250" s="434"/>
      <c r="R250" s="434"/>
      <c r="S250" s="434"/>
      <c r="T250" s="434"/>
      <c r="U250" s="434"/>
    </row>
    <row r="251">
      <c r="A251" s="434"/>
      <c r="B251" s="434"/>
      <c r="C251" s="434"/>
      <c r="D251" s="434"/>
      <c r="E251" s="434"/>
      <c r="F251" s="434"/>
      <c r="G251" s="434"/>
      <c r="H251" s="434"/>
      <c r="I251" s="434"/>
      <c r="J251" s="434"/>
      <c r="K251" s="434"/>
      <c r="L251" s="434"/>
      <c r="M251" s="434"/>
      <c r="N251" s="434"/>
      <c r="O251" s="434"/>
      <c r="P251" s="434"/>
      <c r="Q251" s="434"/>
      <c r="R251" s="434"/>
      <c r="S251" s="434"/>
      <c r="T251" s="434"/>
      <c r="U251" s="434"/>
    </row>
    <row r="252">
      <c r="A252" s="434"/>
      <c r="B252" s="434"/>
      <c r="C252" s="434"/>
      <c r="D252" s="434"/>
      <c r="E252" s="434"/>
      <c r="F252" s="434"/>
      <c r="G252" s="434"/>
      <c r="H252" s="434"/>
      <c r="I252" s="434"/>
      <c r="J252" s="434"/>
      <c r="K252" s="434"/>
      <c r="L252" s="434"/>
      <c r="M252" s="434"/>
      <c r="N252" s="434"/>
      <c r="O252" s="434"/>
      <c r="P252" s="434"/>
      <c r="Q252" s="434"/>
      <c r="R252" s="434"/>
      <c r="S252" s="434"/>
      <c r="T252" s="434"/>
      <c r="U252" s="434"/>
    </row>
    <row r="253">
      <c r="A253" s="434"/>
      <c r="B253" s="434"/>
      <c r="C253" s="434"/>
      <c r="D253" s="434"/>
      <c r="E253" s="434"/>
      <c r="F253" s="434"/>
      <c r="G253" s="434"/>
      <c r="H253" s="434"/>
      <c r="I253" s="434"/>
      <c r="J253" s="434"/>
      <c r="K253" s="434"/>
      <c r="L253" s="434"/>
      <c r="M253" s="434"/>
      <c r="N253" s="434"/>
      <c r="O253" s="434"/>
      <c r="P253" s="434"/>
      <c r="Q253" s="434"/>
      <c r="R253" s="434"/>
      <c r="S253" s="434"/>
      <c r="T253" s="434"/>
      <c r="U253" s="434"/>
    </row>
    <row r="254">
      <c r="A254" s="434"/>
      <c r="B254" s="434"/>
      <c r="C254" s="434"/>
      <c r="D254" s="434"/>
      <c r="E254" s="434"/>
      <c r="F254" s="434"/>
      <c r="G254" s="434"/>
      <c r="H254" s="434"/>
      <c r="I254" s="434"/>
      <c r="J254" s="434"/>
      <c r="K254" s="434"/>
      <c r="L254" s="434"/>
      <c r="M254" s="434"/>
      <c r="N254" s="434"/>
      <c r="O254" s="434"/>
      <c r="P254" s="434"/>
      <c r="Q254" s="434"/>
      <c r="R254" s="434"/>
      <c r="S254" s="434"/>
      <c r="T254" s="434"/>
      <c r="U254" s="434"/>
    </row>
    <row r="255">
      <c r="A255" s="434"/>
      <c r="B255" s="434"/>
      <c r="C255" s="434"/>
      <c r="D255" s="434"/>
      <c r="E255" s="434"/>
      <c r="F255" s="434"/>
      <c r="G255" s="434"/>
      <c r="H255" s="434"/>
      <c r="I255" s="434"/>
      <c r="J255" s="434"/>
      <c r="K255" s="434"/>
      <c r="L255" s="434"/>
      <c r="M255" s="434"/>
      <c r="N255" s="434"/>
      <c r="O255" s="434"/>
      <c r="P255" s="434"/>
      <c r="Q255" s="434"/>
      <c r="R255" s="434"/>
      <c r="S255" s="434"/>
      <c r="T255" s="434"/>
      <c r="U255" s="434"/>
    </row>
    <row r="256">
      <c r="A256" s="434"/>
      <c r="B256" s="434"/>
      <c r="C256" s="434"/>
      <c r="D256" s="434"/>
      <c r="E256" s="434"/>
      <c r="F256" s="434"/>
      <c r="G256" s="434"/>
      <c r="H256" s="434"/>
      <c r="I256" s="434"/>
      <c r="J256" s="434"/>
      <c r="K256" s="434"/>
      <c r="L256" s="434"/>
      <c r="M256" s="434"/>
      <c r="N256" s="434"/>
      <c r="O256" s="434"/>
      <c r="P256" s="434"/>
      <c r="Q256" s="434"/>
      <c r="R256" s="434"/>
      <c r="S256" s="434"/>
      <c r="T256" s="434"/>
      <c r="U256" s="434"/>
    </row>
    <row r="257">
      <c r="A257" s="434"/>
      <c r="B257" s="434"/>
      <c r="C257" s="434"/>
      <c r="D257" s="434"/>
      <c r="E257" s="434"/>
      <c r="F257" s="434"/>
      <c r="G257" s="434"/>
      <c r="H257" s="434"/>
      <c r="I257" s="434"/>
      <c r="J257" s="434"/>
      <c r="K257" s="434"/>
      <c r="L257" s="434"/>
      <c r="M257" s="434"/>
      <c r="N257" s="434"/>
      <c r="O257" s="434"/>
      <c r="P257" s="434"/>
      <c r="Q257" s="434"/>
      <c r="R257" s="434"/>
      <c r="S257" s="434"/>
      <c r="T257" s="434"/>
      <c r="U257" s="434"/>
    </row>
    <row r="258">
      <c r="A258" s="434"/>
      <c r="B258" s="434"/>
      <c r="C258" s="434"/>
      <c r="D258" s="434"/>
      <c r="E258" s="434"/>
      <c r="F258" s="434"/>
      <c r="G258" s="434"/>
      <c r="H258" s="434"/>
      <c r="I258" s="434"/>
      <c r="J258" s="434"/>
      <c r="K258" s="434"/>
      <c r="L258" s="434"/>
      <c r="M258" s="434"/>
      <c r="N258" s="434"/>
      <c r="O258" s="434"/>
      <c r="P258" s="434"/>
      <c r="Q258" s="434"/>
      <c r="R258" s="434"/>
      <c r="S258" s="434"/>
      <c r="T258" s="434"/>
      <c r="U258" s="434"/>
    </row>
    <row r="259">
      <c r="A259" s="434"/>
      <c r="B259" s="434"/>
      <c r="C259" s="434"/>
      <c r="D259" s="434"/>
      <c r="E259" s="434"/>
      <c r="F259" s="434"/>
      <c r="G259" s="434"/>
      <c r="H259" s="434"/>
      <c r="I259" s="434"/>
      <c r="J259" s="434"/>
      <c r="K259" s="434"/>
      <c r="L259" s="434"/>
      <c r="M259" s="434"/>
      <c r="N259" s="434"/>
      <c r="O259" s="434"/>
      <c r="P259" s="434"/>
      <c r="Q259" s="434"/>
      <c r="R259" s="434"/>
      <c r="S259" s="434"/>
      <c r="T259" s="434"/>
      <c r="U259" s="434"/>
    </row>
    <row r="260">
      <c r="A260" s="434"/>
      <c r="B260" s="434"/>
      <c r="C260" s="434"/>
      <c r="D260" s="434"/>
      <c r="E260" s="434"/>
      <c r="F260" s="434"/>
      <c r="G260" s="434"/>
      <c r="H260" s="434"/>
      <c r="I260" s="434"/>
      <c r="J260" s="434"/>
      <c r="K260" s="434"/>
      <c r="L260" s="434"/>
      <c r="M260" s="434"/>
      <c r="N260" s="434"/>
      <c r="O260" s="434"/>
      <c r="P260" s="434"/>
      <c r="Q260" s="434"/>
      <c r="R260" s="434"/>
      <c r="S260" s="434"/>
      <c r="T260" s="434"/>
      <c r="U260" s="434"/>
    </row>
    <row r="261">
      <c r="A261" s="434"/>
      <c r="B261" s="434"/>
      <c r="C261" s="434"/>
      <c r="D261" s="434"/>
      <c r="E261" s="434"/>
      <c r="F261" s="434"/>
      <c r="G261" s="434"/>
      <c r="H261" s="434"/>
      <c r="I261" s="434"/>
      <c r="J261" s="434"/>
      <c r="K261" s="434"/>
      <c r="L261" s="434"/>
      <c r="M261" s="434"/>
      <c r="N261" s="434"/>
      <c r="O261" s="434"/>
      <c r="P261" s="434"/>
      <c r="Q261" s="434"/>
      <c r="R261" s="434"/>
      <c r="S261" s="434"/>
      <c r="T261" s="434"/>
      <c r="U261" s="434"/>
    </row>
    <row r="262">
      <c r="A262" s="434"/>
      <c r="B262" s="434"/>
      <c r="C262" s="434"/>
      <c r="D262" s="434"/>
      <c r="E262" s="434"/>
      <c r="F262" s="434"/>
      <c r="G262" s="434"/>
      <c r="H262" s="434"/>
      <c r="I262" s="434"/>
      <c r="J262" s="434"/>
      <c r="K262" s="434"/>
      <c r="L262" s="434"/>
      <c r="M262" s="434"/>
      <c r="N262" s="434"/>
      <c r="O262" s="434"/>
      <c r="P262" s="434"/>
      <c r="Q262" s="434"/>
      <c r="R262" s="434"/>
      <c r="S262" s="434"/>
      <c r="T262" s="434"/>
      <c r="U262" s="434"/>
    </row>
    <row r="263">
      <c r="A263" s="434"/>
      <c r="B263" s="434"/>
      <c r="C263" s="434"/>
      <c r="D263" s="434"/>
      <c r="E263" s="434"/>
      <c r="F263" s="434"/>
      <c r="G263" s="434"/>
      <c r="H263" s="434"/>
      <c r="I263" s="434"/>
      <c r="J263" s="434"/>
      <c r="K263" s="434"/>
      <c r="L263" s="434"/>
      <c r="M263" s="434"/>
      <c r="N263" s="434"/>
      <c r="O263" s="434"/>
      <c r="P263" s="434"/>
      <c r="Q263" s="434"/>
      <c r="R263" s="434"/>
      <c r="S263" s="434"/>
      <c r="T263" s="434"/>
      <c r="U263" s="434"/>
    </row>
    <row r="264">
      <c r="A264" s="434"/>
      <c r="B264" s="434"/>
      <c r="C264" s="434"/>
      <c r="D264" s="434"/>
      <c r="E264" s="434"/>
      <c r="F264" s="434"/>
      <c r="G264" s="434"/>
      <c r="H264" s="434"/>
      <c r="I264" s="434"/>
      <c r="J264" s="434"/>
      <c r="K264" s="434"/>
      <c r="L264" s="434"/>
      <c r="M264" s="434"/>
      <c r="N264" s="434"/>
      <c r="O264" s="434"/>
      <c r="P264" s="434"/>
      <c r="Q264" s="434"/>
      <c r="R264" s="434"/>
      <c r="S264" s="434"/>
      <c r="T264" s="434"/>
      <c r="U264" s="434"/>
    </row>
    <row r="265">
      <c r="A265" s="434"/>
      <c r="B265" s="434"/>
      <c r="C265" s="434"/>
      <c r="D265" s="434"/>
      <c r="E265" s="434"/>
      <c r="F265" s="434"/>
      <c r="G265" s="434"/>
      <c r="H265" s="434"/>
      <c r="I265" s="434"/>
      <c r="J265" s="434"/>
      <c r="K265" s="434"/>
      <c r="L265" s="434"/>
      <c r="M265" s="434"/>
      <c r="N265" s="434"/>
      <c r="O265" s="434"/>
      <c r="P265" s="434"/>
      <c r="Q265" s="434"/>
      <c r="R265" s="434"/>
      <c r="S265" s="434"/>
      <c r="T265" s="434"/>
      <c r="U265" s="434"/>
    </row>
    <row r="266">
      <c r="A266" s="434"/>
      <c r="B266" s="434"/>
      <c r="C266" s="434"/>
      <c r="D266" s="434"/>
      <c r="E266" s="434"/>
      <c r="F266" s="434"/>
      <c r="G266" s="434"/>
      <c r="H266" s="434"/>
      <c r="I266" s="434"/>
      <c r="J266" s="434"/>
      <c r="K266" s="434"/>
      <c r="L266" s="434"/>
      <c r="M266" s="434"/>
      <c r="N266" s="434"/>
      <c r="O266" s="434"/>
      <c r="P266" s="434"/>
      <c r="Q266" s="434"/>
      <c r="R266" s="434"/>
      <c r="S266" s="434"/>
      <c r="T266" s="434"/>
      <c r="U266" s="434"/>
    </row>
    <row r="267">
      <c r="A267" s="434"/>
      <c r="B267" s="434"/>
      <c r="C267" s="434"/>
      <c r="D267" s="434"/>
      <c r="E267" s="434"/>
      <c r="F267" s="434"/>
      <c r="G267" s="434"/>
      <c r="H267" s="434"/>
      <c r="I267" s="434"/>
      <c r="J267" s="434"/>
      <c r="K267" s="434"/>
      <c r="L267" s="434"/>
      <c r="M267" s="434"/>
      <c r="N267" s="434"/>
      <c r="O267" s="434"/>
      <c r="P267" s="434"/>
      <c r="Q267" s="434"/>
      <c r="R267" s="434"/>
      <c r="S267" s="434"/>
      <c r="T267" s="434"/>
      <c r="U267" s="434"/>
    </row>
    <row r="268">
      <c r="A268" s="434"/>
      <c r="B268" s="434"/>
      <c r="C268" s="434"/>
      <c r="D268" s="434"/>
      <c r="E268" s="434"/>
      <c r="F268" s="434"/>
      <c r="G268" s="434"/>
      <c r="H268" s="434"/>
      <c r="I268" s="434"/>
      <c r="J268" s="434"/>
      <c r="K268" s="434"/>
      <c r="L268" s="434"/>
      <c r="M268" s="434"/>
      <c r="N268" s="434"/>
      <c r="O268" s="434"/>
      <c r="P268" s="434"/>
      <c r="Q268" s="434"/>
      <c r="R268" s="434"/>
      <c r="S268" s="434"/>
      <c r="T268" s="434"/>
      <c r="U268" s="434"/>
    </row>
    <row r="269">
      <c r="A269" s="434"/>
      <c r="B269" s="434"/>
      <c r="C269" s="434"/>
      <c r="D269" s="434"/>
      <c r="E269" s="434"/>
      <c r="F269" s="434"/>
      <c r="G269" s="434"/>
      <c r="H269" s="434"/>
      <c r="I269" s="434"/>
      <c r="J269" s="434"/>
      <c r="K269" s="434"/>
      <c r="L269" s="434"/>
      <c r="M269" s="434"/>
      <c r="N269" s="434"/>
      <c r="O269" s="434"/>
      <c r="P269" s="434"/>
      <c r="Q269" s="434"/>
      <c r="R269" s="434"/>
      <c r="S269" s="434"/>
      <c r="T269" s="434"/>
      <c r="U269" s="434"/>
    </row>
    <row r="270">
      <c r="A270" s="434"/>
      <c r="B270" s="434"/>
      <c r="C270" s="434"/>
      <c r="D270" s="434"/>
      <c r="E270" s="434"/>
      <c r="F270" s="434"/>
      <c r="G270" s="434"/>
      <c r="H270" s="434"/>
      <c r="I270" s="434"/>
      <c r="J270" s="434"/>
      <c r="K270" s="434"/>
      <c r="L270" s="434"/>
      <c r="M270" s="434"/>
      <c r="N270" s="434"/>
      <c r="O270" s="434"/>
      <c r="P270" s="434"/>
      <c r="Q270" s="434"/>
      <c r="R270" s="434"/>
      <c r="S270" s="434"/>
      <c r="T270" s="434"/>
      <c r="U270" s="434"/>
    </row>
    <row r="271">
      <c r="A271" s="434"/>
      <c r="B271" s="434"/>
      <c r="C271" s="434"/>
      <c r="D271" s="434"/>
      <c r="E271" s="434"/>
      <c r="F271" s="434"/>
      <c r="G271" s="434"/>
      <c r="H271" s="434"/>
      <c r="I271" s="434"/>
      <c r="J271" s="434"/>
      <c r="K271" s="434"/>
      <c r="L271" s="434"/>
      <c r="M271" s="434"/>
      <c r="N271" s="434"/>
      <c r="O271" s="434"/>
      <c r="P271" s="434"/>
      <c r="Q271" s="434"/>
      <c r="R271" s="434"/>
      <c r="S271" s="434"/>
      <c r="T271" s="434"/>
      <c r="U271" s="434"/>
    </row>
    <row r="272">
      <c r="A272" s="434"/>
      <c r="B272" s="434"/>
      <c r="C272" s="434"/>
      <c r="D272" s="434"/>
      <c r="E272" s="434"/>
      <c r="F272" s="434"/>
      <c r="G272" s="434"/>
      <c r="H272" s="434"/>
      <c r="I272" s="434"/>
      <c r="J272" s="434"/>
      <c r="K272" s="434"/>
      <c r="L272" s="434"/>
      <c r="M272" s="434"/>
      <c r="N272" s="434"/>
      <c r="O272" s="434"/>
      <c r="P272" s="434"/>
      <c r="Q272" s="434"/>
      <c r="R272" s="434"/>
      <c r="S272" s="434"/>
      <c r="T272" s="434"/>
      <c r="U272" s="434"/>
    </row>
    <row r="273">
      <c r="A273" s="434"/>
      <c r="B273" s="434"/>
      <c r="C273" s="434"/>
      <c r="D273" s="434"/>
      <c r="E273" s="434"/>
      <c r="F273" s="434"/>
      <c r="G273" s="434"/>
      <c r="H273" s="434"/>
      <c r="I273" s="434"/>
      <c r="J273" s="434"/>
      <c r="K273" s="434"/>
      <c r="L273" s="434"/>
      <c r="M273" s="434"/>
      <c r="N273" s="434"/>
      <c r="O273" s="434"/>
      <c r="P273" s="434"/>
      <c r="Q273" s="434"/>
      <c r="R273" s="434"/>
      <c r="S273" s="434"/>
      <c r="T273" s="434"/>
      <c r="U273" s="434"/>
    </row>
    <row r="274">
      <c r="A274" s="434"/>
      <c r="B274" s="434"/>
      <c r="C274" s="434"/>
      <c r="D274" s="434"/>
      <c r="E274" s="434"/>
      <c r="F274" s="434"/>
      <c r="G274" s="434"/>
      <c r="H274" s="434"/>
      <c r="I274" s="434"/>
      <c r="J274" s="434"/>
      <c r="K274" s="434"/>
      <c r="L274" s="434"/>
      <c r="M274" s="434"/>
      <c r="N274" s="434"/>
      <c r="O274" s="434"/>
      <c r="P274" s="434"/>
      <c r="Q274" s="434"/>
      <c r="R274" s="434"/>
      <c r="S274" s="434"/>
      <c r="T274" s="434"/>
      <c r="U274" s="434"/>
    </row>
    <row r="275">
      <c r="A275" s="434"/>
      <c r="B275" s="434"/>
      <c r="C275" s="434"/>
      <c r="D275" s="434"/>
      <c r="E275" s="434"/>
      <c r="F275" s="434"/>
      <c r="G275" s="434"/>
      <c r="H275" s="434"/>
      <c r="I275" s="434"/>
      <c r="J275" s="434"/>
      <c r="K275" s="434"/>
      <c r="L275" s="434"/>
      <c r="M275" s="434"/>
      <c r="N275" s="434"/>
      <c r="O275" s="434"/>
      <c r="P275" s="434"/>
      <c r="Q275" s="434"/>
      <c r="R275" s="434"/>
      <c r="S275" s="434"/>
      <c r="T275" s="434"/>
      <c r="U275" s="434"/>
    </row>
    <row r="276">
      <c r="A276" s="434"/>
      <c r="B276" s="434"/>
      <c r="C276" s="434"/>
      <c r="D276" s="434"/>
      <c r="E276" s="434"/>
      <c r="F276" s="434"/>
      <c r="G276" s="434"/>
      <c r="H276" s="434"/>
      <c r="I276" s="434"/>
      <c r="J276" s="434"/>
      <c r="K276" s="434"/>
      <c r="L276" s="434"/>
      <c r="M276" s="434"/>
      <c r="N276" s="434"/>
      <c r="O276" s="434"/>
      <c r="P276" s="434"/>
      <c r="Q276" s="434"/>
      <c r="R276" s="434"/>
      <c r="S276" s="434"/>
      <c r="T276" s="434"/>
      <c r="U276" s="434"/>
    </row>
    <row r="277">
      <c r="A277" s="434"/>
      <c r="B277" s="434"/>
      <c r="C277" s="434"/>
      <c r="D277" s="434"/>
      <c r="E277" s="434"/>
      <c r="F277" s="434"/>
      <c r="G277" s="434"/>
      <c r="H277" s="434"/>
      <c r="I277" s="434"/>
      <c r="J277" s="434"/>
      <c r="K277" s="434"/>
      <c r="L277" s="434"/>
      <c r="M277" s="434"/>
      <c r="N277" s="434"/>
      <c r="O277" s="434"/>
      <c r="P277" s="434"/>
      <c r="Q277" s="434"/>
      <c r="R277" s="434"/>
      <c r="S277" s="434"/>
      <c r="T277" s="434"/>
      <c r="U277" s="434"/>
    </row>
    <row r="278">
      <c r="A278" s="434"/>
      <c r="B278" s="434"/>
      <c r="C278" s="434"/>
      <c r="D278" s="434"/>
      <c r="E278" s="434"/>
      <c r="F278" s="434"/>
      <c r="G278" s="434"/>
      <c r="H278" s="434"/>
      <c r="I278" s="434"/>
      <c r="J278" s="434"/>
      <c r="K278" s="434"/>
      <c r="L278" s="434"/>
      <c r="M278" s="434"/>
      <c r="N278" s="434"/>
      <c r="O278" s="434"/>
      <c r="P278" s="434"/>
      <c r="Q278" s="434"/>
      <c r="R278" s="434"/>
      <c r="S278" s="434"/>
      <c r="T278" s="434"/>
      <c r="U278" s="434"/>
    </row>
    <row r="279">
      <c r="A279" s="434"/>
      <c r="B279" s="434"/>
      <c r="C279" s="434"/>
      <c r="D279" s="434"/>
      <c r="E279" s="434"/>
      <c r="F279" s="434"/>
      <c r="G279" s="434"/>
      <c r="H279" s="434"/>
      <c r="I279" s="434"/>
      <c r="J279" s="434"/>
      <c r="K279" s="434"/>
      <c r="L279" s="434"/>
      <c r="M279" s="434"/>
      <c r="N279" s="434"/>
      <c r="O279" s="434"/>
      <c r="P279" s="434"/>
      <c r="Q279" s="434"/>
      <c r="R279" s="434"/>
      <c r="S279" s="434"/>
      <c r="T279" s="434"/>
      <c r="U279" s="434"/>
    </row>
    <row r="280">
      <c r="A280" s="434"/>
      <c r="B280" s="434"/>
      <c r="C280" s="434"/>
      <c r="D280" s="434"/>
      <c r="E280" s="434"/>
      <c r="F280" s="434"/>
      <c r="G280" s="434"/>
      <c r="H280" s="434"/>
      <c r="I280" s="434"/>
      <c r="J280" s="434"/>
      <c r="K280" s="434"/>
      <c r="L280" s="434"/>
      <c r="M280" s="434"/>
      <c r="N280" s="434"/>
      <c r="O280" s="434"/>
      <c r="P280" s="434"/>
      <c r="Q280" s="434"/>
      <c r="R280" s="434"/>
      <c r="S280" s="434"/>
      <c r="T280" s="434"/>
      <c r="U280" s="434"/>
    </row>
    <row r="281">
      <c r="A281" s="434"/>
      <c r="B281" s="434"/>
      <c r="C281" s="434"/>
      <c r="D281" s="434"/>
      <c r="E281" s="434"/>
      <c r="F281" s="434"/>
      <c r="G281" s="434"/>
      <c r="H281" s="434"/>
      <c r="I281" s="434"/>
      <c r="J281" s="434"/>
      <c r="K281" s="434"/>
      <c r="L281" s="434"/>
      <c r="M281" s="434"/>
      <c r="N281" s="434"/>
      <c r="O281" s="434"/>
      <c r="P281" s="434"/>
      <c r="Q281" s="434"/>
      <c r="R281" s="434"/>
      <c r="S281" s="434"/>
      <c r="T281" s="434"/>
      <c r="U281" s="434"/>
    </row>
    <row r="282">
      <c r="A282" s="434"/>
      <c r="B282" s="434"/>
      <c r="C282" s="434"/>
      <c r="D282" s="434"/>
      <c r="E282" s="434"/>
      <c r="F282" s="434"/>
      <c r="G282" s="434"/>
      <c r="H282" s="434"/>
      <c r="I282" s="434"/>
      <c r="J282" s="434"/>
      <c r="K282" s="434"/>
      <c r="L282" s="434"/>
      <c r="M282" s="434"/>
      <c r="N282" s="434"/>
      <c r="O282" s="434"/>
      <c r="P282" s="434"/>
      <c r="Q282" s="434"/>
      <c r="R282" s="434"/>
      <c r="S282" s="434"/>
      <c r="T282" s="434"/>
      <c r="U282" s="434"/>
    </row>
    <row r="283">
      <c r="A283" s="434"/>
      <c r="B283" s="434"/>
      <c r="C283" s="434"/>
      <c r="D283" s="434"/>
      <c r="E283" s="434"/>
      <c r="F283" s="434"/>
      <c r="G283" s="434"/>
      <c r="H283" s="434"/>
      <c r="I283" s="434"/>
      <c r="J283" s="434"/>
      <c r="K283" s="434"/>
      <c r="L283" s="434"/>
      <c r="M283" s="434"/>
      <c r="N283" s="434"/>
      <c r="O283" s="434"/>
      <c r="P283" s="434"/>
      <c r="Q283" s="434"/>
      <c r="R283" s="434"/>
      <c r="S283" s="434"/>
      <c r="T283" s="434"/>
      <c r="U283" s="434"/>
    </row>
    <row r="284">
      <c r="A284" s="434"/>
      <c r="B284" s="434"/>
      <c r="C284" s="434"/>
      <c r="D284" s="434"/>
      <c r="E284" s="434"/>
      <c r="F284" s="434"/>
      <c r="G284" s="434"/>
      <c r="H284" s="434"/>
      <c r="I284" s="434"/>
      <c r="J284" s="434"/>
      <c r="K284" s="434"/>
      <c r="L284" s="434"/>
      <c r="M284" s="434"/>
      <c r="N284" s="434"/>
      <c r="O284" s="434"/>
      <c r="P284" s="434"/>
      <c r="Q284" s="434"/>
      <c r="R284" s="434"/>
      <c r="S284" s="434"/>
      <c r="T284" s="434"/>
      <c r="U284" s="434"/>
    </row>
    <row r="285">
      <c r="A285" s="434"/>
      <c r="B285" s="434"/>
      <c r="C285" s="434"/>
      <c r="D285" s="434"/>
      <c r="E285" s="434"/>
      <c r="F285" s="434"/>
      <c r="G285" s="434"/>
      <c r="H285" s="434"/>
      <c r="I285" s="434"/>
      <c r="J285" s="434"/>
      <c r="K285" s="434"/>
      <c r="L285" s="434"/>
      <c r="M285" s="434"/>
      <c r="N285" s="434"/>
      <c r="O285" s="434"/>
      <c r="P285" s="434"/>
      <c r="Q285" s="434"/>
      <c r="R285" s="434"/>
      <c r="S285" s="434"/>
      <c r="T285" s="434"/>
      <c r="U285" s="434"/>
    </row>
    <row r="286">
      <c r="A286" s="434"/>
      <c r="B286" s="434"/>
      <c r="C286" s="434"/>
      <c r="D286" s="434"/>
      <c r="E286" s="434"/>
      <c r="F286" s="434"/>
      <c r="G286" s="434"/>
      <c r="H286" s="434"/>
      <c r="I286" s="434"/>
      <c r="J286" s="434"/>
      <c r="K286" s="434"/>
      <c r="L286" s="434"/>
      <c r="M286" s="434"/>
      <c r="N286" s="434"/>
      <c r="O286" s="434"/>
      <c r="P286" s="434"/>
      <c r="Q286" s="434"/>
      <c r="R286" s="434"/>
      <c r="S286" s="434"/>
      <c r="T286" s="434"/>
      <c r="U286" s="434"/>
    </row>
    <row r="287">
      <c r="A287" s="434"/>
      <c r="B287" s="434"/>
      <c r="C287" s="434"/>
      <c r="D287" s="434"/>
      <c r="E287" s="434"/>
      <c r="F287" s="434"/>
      <c r="G287" s="434"/>
      <c r="H287" s="434"/>
      <c r="I287" s="434"/>
      <c r="J287" s="434"/>
      <c r="K287" s="434"/>
      <c r="L287" s="434"/>
      <c r="M287" s="434"/>
      <c r="N287" s="434"/>
      <c r="O287" s="434"/>
      <c r="P287" s="434"/>
      <c r="Q287" s="434"/>
      <c r="R287" s="434"/>
      <c r="S287" s="434"/>
      <c r="T287" s="434"/>
      <c r="U287" s="434"/>
    </row>
    <row r="288">
      <c r="A288" s="434"/>
      <c r="B288" s="434"/>
      <c r="C288" s="434"/>
      <c r="D288" s="434"/>
      <c r="E288" s="434"/>
      <c r="F288" s="434"/>
      <c r="G288" s="434"/>
      <c r="H288" s="434"/>
      <c r="I288" s="434"/>
      <c r="J288" s="434"/>
      <c r="K288" s="434"/>
      <c r="L288" s="434"/>
      <c r="M288" s="434"/>
      <c r="N288" s="434"/>
      <c r="O288" s="434"/>
      <c r="P288" s="434"/>
      <c r="Q288" s="434"/>
      <c r="R288" s="434"/>
      <c r="S288" s="434"/>
      <c r="T288" s="434"/>
      <c r="U288" s="434"/>
    </row>
    <row r="289">
      <c r="A289" s="434"/>
      <c r="B289" s="434"/>
      <c r="C289" s="434"/>
      <c r="D289" s="434"/>
      <c r="E289" s="434"/>
      <c r="F289" s="434"/>
      <c r="G289" s="434"/>
      <c r="H289" s="434"/>
      <c r="I289" s="434"/>
      <c r="J289" s="434"/>
      <c r="K289" s="434"/>
      <c r="L289" s="434"/>
      <c r="M289" s="434"/>
      <c r="N289" s="434"/>
      <c r="O289" s="434"/>
      <c r="P289" s="434"/>
      <c r="Q289" s="434"/>
      <c r="R289" s="434"/>
      <c r="S289" s="434"/>
      <c r="T289" s="434"/>
      <c r="U289" s="434"/>
    </row>
    <row r="290">
      <c r="A290" s="434"/>
      <c r="B290" s="434"/>
      <c r="C290" s="434"/>
      <c r="D290" s="434"/>
      <c r="E290" s="434"/>
      <c r="F290" s="434"/>
      <c r="G290" s="434"/>
      <c r="H290" s="434"/>
      <c r="I290" s="434"/>
      <c r="J290" s="434"/>
      <c r="K290" s="434"/>
      <c r="L290" s="434"/>
      <c r="M290" s="434"/>
      <c r="N290" s="434"/>
      <c r="O290" s="434"/>
      <c r="P290" s="434"/>
      <c r="Q290" s="434"/>
      <c r="R290" s="434"/>
      <c r="S290" s="434"/>
      <c r="T290" s="434"/>
      <c r="U290" s="434"/>
    </row>
    <row r="291">
      <c r="A291" s="434"/>
      <c r="B291" s="434"/>
      <c r="C291" s="434"/>
      <c r="D291" s="434"/>
      <c r="E291" s="434"/>
      <c r="F291" s="434"/>
      <c r="G291" s="434"/>
      <c r="H291" s="434"/>
      <c r="I291" s="434"/>
      <c r="J291" s="434"/>
      <c r="K291" s="434"/>
      <c r="L291" s="434"/>
      <c r="M291" s="434"/>
      <c r="N291" s="434"/>
      <c r="O291" s="434"/>
      <c r="P291" s="434"/>
      <c r="Q291" s="434"/>
      <c r="R291" s="434"/>
      <c r="S291" s="434"/>
      <c r="T291" s="434"/>
      <c r="U291" s="434"/>
    </row>
    <row r="292">
      <c r="A292" s="434"/>
      <c r="B292" s="434"/>
      <c r="C292" s="434"/>
      <c r="D292" s="434"/>
      <c r="E292" s="434"/>
      <c r="F292" s="434"/>
      <c r="G292" s="434"/>
      <c r="H292" s="434"/>
      <c r="I292" s="434"/>
      <c r="J292" s="434"/>
      <c r="K292" s="434"/>
      <c r="L292" s="434"/>
      <c r="M292" s="434"/>
      <c r="N292" s="434"/>
      <c r="O292" s="434"/>
      <c r="P292" s="434"/>
      <c r="Q292" s="434"/>
      <c r="R292" s="434"/>
      <c r="S292" s="434"/>
      <c r="T292" s="434"/>
      <c r="U292" s="434"/>
    </row>
    <row r="293">
      <c r="A293" s="434"/>
      <c r="B293" s="434"/>
      <c r="C293" s="434"/>
      <c r="D293" s="434"/>
      <c r="E293" s="434"/>
      <c r="F293" s="434"/>
      <c r="G293" s="434"/>
      <c r="H293" s="434"/>
      <c r="I293" s="434"/>
      <c r="J293" s="434"/>
      <c r="K293" s="434"/>
      <c r="L293" s="434"/>
      <c r="M293" s="434"/>
      <c r="N293" s="434"/>
      <c r="O293" s="434"/>
      <c r="P293" s="434"/>
      <c r="Q293" s="434"/>
      <c r="R293" s="434"/>
      <c r="S293" s="434"/>
      <c r="T293" s="434"/>
      <c r="U293" s="434"/>
    </row>
    <row r="294">
      <c r="A294" s="434"/>
      <c r="B294" s="434"/>
      <c r="C294" s="434"/>
      <c r="D294" s="434"/>
      <c r="E294" s="434"/>
      <c r="F294" s="434"/>
      <c r="G294" s="434"/>
      <c r="H294" s="434"/>
      <c r="I294" s="434"/>
      <c r="J294" s="434"/>
      <c r="K294" s="434"/>
      <c r="L294" s="434"/>
      <c r="M294" s="434"/>
      <c r="N294" s="434"/>
      <c r="O294" s="434"/>
      <c r="P294" s="434"/>
      <c r="Q294" s="434"/>
      <c r="R294" s="434"/>
      <c r="S294" s="434"/>
      <c r="T294" s="434"/>
      <c r="U294" s="434"/>
    </row>
    <row r="295">
      <c r="A295" s="434"/>
      <c r="B295" s="434"/>
      <c r="C295" s="434"/>
      <c r="D295" s="434"/>
      <c r="E295" s="434"/>
      <c r="F295" s="434"/>
      <c r="G295" s="434"/>
      <c r="H295" s="434"/>
      <c r="I295" s="434"/>
      <c r="J295" s="434"/>
      <c r="K295" s="434"/>
      <c r="L295" s="434"/>
      <c r="M295" s="434"/>
      <c r="N295" s="434"/>
      <c r="O295" s="434"/>
      <c r="P295" s="434"/>
      <c r="Q295" s="434"/>
      <c r="R295" s="434"/>
      <c r="S295" s="434"/>
      <c r="T295" s="434"/>
      <c r="U295" s="434"/>
    </row>
    <row r="296">
      <c r="A296" s="434"/>
      <c r="B296" s="434"/>
      <c r="C296" s="434"/>
      <c r="D296" s="434"/>
      <c r="E296" s="434"/>
      <c r="F296" s="434"/>
      <c r="G296" s="434"/>
      <c r="H296" s="434"/>
      <c r="I296" s="434"/>
      <c r="J296" s="434"/>
      <c r="K296" s="434"/>
      <c r="L296" s="434"/>
      <c r="M296" s="434"/>
      <c r="N296" s="434"/>
      <c r="O296" s="434"/>
      <c r="P296" s="434"/>
      <c r="Q296" s="434"/>
      <c r="R296" s="434"/>
      <c r="S296" s="434"/>
      <c r="T296" s="434"/>
      <c r="U296" s="434"/>
    </row>
    <row r="297">
      <c r="A297" s="434"/>
      <c r="B297" s="434"/>
      <c r="C297" s="434"/>
      <c r="D297" s="434"/>
      <c r="E297" s="434"/>
      <c r="F297" s="434"/>
      <c r="G297" s="434"/>
      <c r="H297" s="434"/>
      <c r="I297" s="434"/>
      <c r="J297" s="434"/>
      <c r="K297" s="434"/>
      <c r="L297" s="434"/>
      <c r="M297" s="434"/>
      <c r="N297" s="434"/>
      <c r="O297" s="434"/>
      <c r="P297" s="434"/>
      <c r="Q297" s="434"/>
      <c r="R297" s="434"/>
      <c r="S297" s="434"/>
      <c r="T297" s="434"/>
      <c r="U297" s="434"/>
    </row>
    <row r="298">
      <c r="A298" s="434"/>
      <c r="B298" s="434"/>
      <c r="C298" s="434"/>
      <c r="D298" s="434"/>
      <c r="E298" s="434"/>
      <c r="F298" s="434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</row>
    <row r="299">
      <c r="A299" s="434"/>
      <c r="B299" s="434"/>
      <c r="C299" s="434"/>
      <c r="D299" s="434"/>
      <c r="E299" s="434"/>
      <c r="F299" s="434"/>
      <c r="G299" s="434"/>
      <c r="H299" s="434"/>
      <c r="I299" s="434"/>
      <c r="J299" s="434"/>
      <c r="K299" s="434"/>
      <c r="L299" s="434"/>
      <c r="M299" s="434"/>
      <c r="N299" s="434"/>
      <c r="O299" s="434"/>
      <c r="P299" s="434"/>
      <c r="Q299" s="434"/>
      <c r="R299" s="434"/>
      <c r="S299" s="434"/>
      <c r="T299" s="434"/>
      <c r="U299" s="434"/>
    </row>
    <row r="300">
      <c r="A300" s="434"/>
      <c r="B300" s="434"/>
      <c r="C300" s="434"/>
      <c r="D300" s="434"/>
      <c r="E300" s="434"/>
      <c r="F300" s="434"/>
      <c r="G300" s="434"/>
      <c r="H300" s="434"/>
      <c r="I300" s="434"/>
      <c r="J300" s="434"/>
      <c r="K300" s="434"/>
      <c r="L300" s="434"/>
      <c r="M300" s="434"/>
      <c r="N300" s="434"/>
      <c r="O300" s="434"/>
      <c r="P300" s="434"/>
      <c r="Q300" s="434"/>
      <c r="R300" s="434"/>
      <c r="S300" s="434"/>
      <c r="T300" s="434"/>
      <c r="U300" s="434"/>
    </row>
    <row r="301">
      <c r="A301" s="434"/>
      <c r="B301" s="434"/>
      <c r="C301" s="434"/>
      <c r="D301" s="434"/>
      <c r="E301" s="434"/>
      <c r="F301" s="434"/>
      <c r="G301" s="434"/>
      <c r="H301" s="434"/>
      <c r="I301" s="434"/>
      <c r="J301" s="434"/>
      <c r="K301" s="434"/>
      <c r="L301" s="434"/>
      <c r="M301" s="434"/>
      <c r="N301" s="434"/>
      <c r="O301" s="434"/>
      <c r="P301" s="434"/>
      <c r="Q301" s="434"/>
      <c r="R301" s="434"/>
      <c r="S301" s="434"/>
      <c r="T301" s="434"/>
      <c r="U301" s="434"/>
    </row>
    <row r="302">
      <c r="A302" s="434"/>
      <c r="B302" s="434"/>
      <c r="C302" s="434"/>
      <c r="D302" s="434"/>
      <c r="E302" s="434"/>
      <c r="F302" s="434"/>
      <c r="G302" s="434"/>
      <c r="H302" s="434"/>
      <c r="I302" s="434"/>
      <c r="J302" s="434"/>
      <c r="K302" s="434"/>
      <c r="L302" s="434"/>
      <c r="M302" s="434"/>
      <c r="N302" s="434"/>
      <c r="O302" s="434"/>
      <c r="P302" s="434"/>
      <c r="Q302" s="434"/>
      <c r="R302" s="434"/>
      <c r="S302" s="434"/>
      <c r="T302" s="434"/>
      <c r="U302" s="434"/>
    </row>
    <row r="303">
      <c r="A303" s="434"/>
      <c r="B303" s="434"/>
      <c r="C303" s="434"/>
      <c r="D303" s="434"/>
      <c r="E303" s="434"/>
      <c r="F303" s="434"/>
      <c r="G303" s="434"/>
      <c r="H303" s="434"/>
      <c r="I303" s="434"/>
      <c r="J303" s="434"/>
      <c r="K303" s="434"/>
      <c r="L303" s="434"/>
      <c r="M303" s="434"/>
      <c r="N303" s="434"/>
      <c r="O303" s="434"/>
      <c r="P303" s="434"/>
      <c r="Q303" s="434"/>
      <c r="R303" s="434"/>
      <c r="S303" s="434"/>
      <c r="T303" s="434"/>
      <c r="U303" s="434"/>
    </row>
    <row r="304">
      <c r="A304" s="434"/>
      <c r="B304" s="434"/>
      <c r="C304" s="434"/>
      <c r="D304" s="434"/>
      <c r="E304" s="434"/>
      <c r="F304" s="434"/>
      <c r="G304" s="434"/>
      <c r="H304" s="434"/>
      <c r="I304" s="434"/>
      <c r="J304" s="434"/>
      <c r="K304" s="434"/>
      <c r="L304" s="434"/>
      <c r="M304" s="434"/>
      <c r="N304" s="434"/>
      <c r="O304" s="434"/>
      <c r="P304" s="434"/>
      <c r="Q304" s="434"/>
      <c r="R304" s="434"/>
      <c r="S304" s="434"/>
      <c r="T304" s="434"/>
      <c r="U304" s="434"/>
    </row>
    <row r="305">
      <c r="A305" s="434"/>
      <c r="B305" s="434"/>
      <c r="C305" s="434"/>
      <c r="D305" s="434"/>
      <c r="E305" s="434"/>
      <c r="F305" s="434"/>
      <c r="G305" s="434"/>
      <c r="H305" s="434"/>
      <c r="I305" s="434"/>
      <c r="J305" s="434"/>
      <c r="K305" s="434"/>
      <c r="L305" s="434"/>
      <c r="M305" s="434"/>
      <c r="N305" s="434"/>
      <c r="O305" s="434"/>
      <c r="P305" s="434"/>
      <c r="Q305" s="434"/>
      <c r="R305" s="434"/>
      <c r="S305" s="434"/>
      <c r="T305" s="434"/>
      <c r="U305" s="434"/>
    </row>
    <row r="306">
      <c r="A306" s="434"/>
      <c r="B306" s="434"/>
      <c r="C306" s="434"/>
      <c r="D306" s="434"/>
      <c r="E306" s="434"/>
      <c r="F306" s="434"/>
      <c r="G306" s="434"/>
      <c r="H306" s="434"/>
      <c r="I306" s="434"/>
      <c r="J306" s="434"/>
      <c r="K306" s="434"/>
      <c r="L306" s="434"/>
      <c r="M306" s="434"/>
      <c r="N306" s="434"/>
      <c r="O306" s="434"/>
      <c r="P306" s="434"/>
      <c r="Q306" s="434"/>
      <c r="R306" s="434"/>
      <c r="S306" s="434"/>
      <c r="T306" s="434"/>
      <c r="U306" s="434"/>
    </row>
    <row r="307">
      <c r="A307" s="434"/>
      <c r="B307" s="434"/>
      <c r="C307" s="434"/>
      <c r="D307" s="434"/>
      <c r="E307" s="434"/>
      <c r="F307" s="434"/>
      <c r="G307" s="434"/>
      <c r="H307" s="434"/>
      <c r="I307" s="434"/>
      <c r="J307" s="434"/>
      <c r="K307" s="434"/>
      <c r="L307" s="434"/>
      <c r="M307" s="434"/>
      <c r="N307" s="434"/>
      <c r="O307" s="434"/>
      <c r="P307" s="434"/>
      <c r="Q307" s="434"/>
      <c r="R307" s="434"/>
      <c r="S307" s="434"/>
      <c r="T307" s="434"/>
      <c r="U307" s="434"/>
    </row>
    <row r="308">
      <c r="A308" s="434"/>
      <c r="B308" s="434"/>
      <c r="C308" s="434"/>
      <c r="D308" s="434"/>
      <c r="E308" s="434"/>
      <c r="F308" s="434"/>
      <c r="G308" s="434"/>
      <c r="H308" s="434"/>
      <c r="I308" s="434"/>
      <c r="J308" s="434"/>
      <c r="K308" s="434"/>
      <c r="L308" s="434"/>
      <c r="M308" s="434"/>
      <c r="N308" s="434"/>
      <c r="O308" s="434"/>
      <c r="P308" s="434"/>
      <c r="Q308" s="434"/>
      <c r="R308" s="434"/>
      <c r="S308" s="434"/>
      <c r="T308" s="434"/>
      <c r="U308" s="434"/>
    </row>
    <row r="309">
      <c r="A309" s="434"/>
      <c r="B309" s="434"/>
      <c r="C309" s="434"/>
      <c r="D309" s="434"/>
      <c r="E309" s="434"/>
      <c r="F309" s="434"/>
      <c r="G309" s="434"/>
      <c r="H309" s="434"/>
      <c r="I309" s="434"/>
      <c r="J309" s="434"/>
      <c r="K309" s="434"/>
      <c r="L309" s="434"/>
      <c r="M309" s="434"/>
      <c r="N309" s="434"/>
      <c r="O309" s="434"/>
      <c r="P309" s="434"/>
      <c r="Q309" s="434"/>
      <c r="R309" s="434"/>
      <c r="S309" s="434"/>
      <c r="T309" s="434"/>
      <c r="U309" s="434"/>
    </row>
    <row r="310">
      <c r="A310" s="434"/>
      <c r="B310" s="434"/>
      <c r="C310" s="434"/>
      <c r="D310" s="434"/>
      <c r="E310" s="434"/>
      <c r="F310" s="434"/>
      <c r="G310" s="434"/>
      <c r="H310" s="434"/>
      <c r="I310" s="434"/>
      <c r="J310" s="434"/>
      <c r="K310" s="434"/>
      <c r="L310" s="434"/>
      <c r="M310" s="434"/>
      <c r="N310" s="434"/>
      <c r="O310" s="434"/>
      <c r="P310" s="434"/>
      <c r="Q310" s="434"/>
      <c r="R310" s="434"/>
      <c r="S310" s="434"/>
      <c r="T310" s="434"/>
      <c r="U310" s="434"/>
    </row>
    <row r="311">
      <c r="A311" s="434"/>
      <c r="B311" s="434"/>
      <c r="C311" s="434"/>
      <c r="D311" s="434"/>
      <c r="E311" s="434"/>
      <c r="F311" s="434"/>
      <c r="G311" s="434"/>
      <c r="H311" s="434"/>
      <c r="I311" s="434"/>
      <c r="J311" s="434"/>
      <c r="K311" s="434"/>
      <c r="L311" s="434"/>
      <c r="M311" s="434"/>
      <c r="N311" s="434"/>
      <c r="O311" s="434"/>
      <c r="P311" s="434"/>
      <c r="Q311" s="434"/>
      <c r="R311" s="434"/>
      <c r="S311" s="434"/>
      <c r="T311" s="434"/>
      <c r="U311" s="434"/>
    </row>
    <row r="312">
      <c r="A312" s="434"/>
      <c r="B312" s="434"/>
      <c r="C312" s="434"/>
      <c r="D312" s="434"/>
      <c r="E312" s="434"/>
      <c r="F312" s="434"/>
      <c r="G312" s="434"/>
      <c r="H312" s="434"/>
      <c r="I312" s="434"/>
      <c r="J312" s="434"/>
      <c r="K312" s="434"/>
      <c r="L312" s="434"/>
      <c r="M312" s="434"/>
      <c r="N312" s="434"/>
      <c r="O312" s="434"/>
      <c r="P312" s="434"/>
      <c r="Q312" s="434"/>
      <c r="R312" s="434"/>
      <c r="S312" s="434"/>
      <c r="T312" s="434"/>
      <c r="U312" s="434"/>
    </row>
    <row r="313">
      <c r="A313" s="434"/>
      <c r="B313" s="434"/>
      <c r="C313" s="434"/>
      <c r="D313" s="434"/>
      <c r="E313" s="434"/>
      <c r="F313" s="434"/>
      <c r="G313" s="434"/>
      <c r="H313" s="434"/>
      <c r="I313" s="434"/>
      <c r="J313" s="434"/>
      <c r="K313" s="434"/>
      <c r="L313" s="434"/>
      <c r="M313" s="434"/>
      <c r="N313" s="434"/>
      <c r="O313" s="434"/>
      <c r="P313" s="434"/>
      <c r="Q313" s="434"/>
      <c r="R313" s="434"/>
      <c r="S313" s="434"/>
      <c r="T313" s="434"/>
      <c r="U313" s="434"/>
    </row>
    <row r="314">
      <c r="A314" s="434"/>
      <c r="B314" s="434"/>
      <c r="C314" s="434"/>
      <c r="D314" s="434"/>
      <c r="E314" s="434"/>
      <c r="F314" s="434"/>
      <c r="G314" s="434"/>
      <c r="H314" s="434"/>
      <c r="I314" s="434"/>
      <c r="J314" s="434"/>
      <c r="K314" s="434"/>
      <c r="L314" s="434"/>
      <c r="M314" s="434"/>
      <c r="N314" s="434"/>
      <c r="O314" s="434"/>
      <c r="P314" s="434"/>
      <c r="Q314" s="434"/>
      <c r="R314" s="434"/>
      <c r="S314" s="434"/>
      <c r="T314" s="434"/>
      <c r="U314" s="434"/>
    </row>
    <row r="315">
      <c r="A315" s="434"/>
      <c r="B315" s="434"/>
      <c r="C315" s="434"/>
      <c r="D315" s="434"/>
      <c r="E315" s="434"/>
      <c r="F315" s="434"/>
      <c r="G315" s="434"/>
      <c r="H315" s="434"/>
      <c r="I315" s="434"/>
      <c r="J315" s="434"/>
      <c r="K315" s="434"/>
      <c r="L315" s="434"/>
      <c r="M315" s="434"/>
      <c r="N315" s="434"/>
      <c r="O315" s="434"/>
      <c r="P315" s="434"/>
      <c r="Q315" s="434"/>
      <c r="R315" s="434"/>
      <c r="S315" s="434"/>
      <c r="T315" s="434"/>
      <c r="U315" s="434"/>
    </row>
    <row r="316">
      <c r="A316" s="434"/>
      <c r="B316" s="434"/>
      <c r="C316" s="434"/>
      <c r="D316" s="434"/>
      <c r="E316" s="434"/>
      <c r="F316" s="434"/>
      <c r="G316" s="434"/>
      <c r="H316" s="434"/>
      <c r="I316" s="434"/>
      <c r="J316" s="434"/>
      <c r="K316" s="434"/>
      <c r="L316" s="434"/>
      <c r="M316" s="434"/>
      <c r="N316" s="434"/>
      <c r="O316" s="434"/>
      <c r="P316" s="434"/>
      <c r="Q316" s="434"/>
      <c r="R316" s="434"/>
      <c r="S316" s="434"/>
      <c r="T316" s="434"/>
      <c r="U316" s="434"/>
    </row>
    <row r="317">
      <c r="A317" s="434"/>
      <c r="B317" s="434"/>
      <c r="C317" s="434"/>
      <c r="D317" s="434"/>
      <c r="E317" s="434"/>
      <c r="F317" s="434"/>
      <c r="G317" s="434"/>
      <c r="H317" s="434"/>
      <c r="I317" s="434"/>
      <c r="J317" s="434"/>
      <c r="K317" s="434"/>
      <c r="L317" s="434"/>
      <c r="M317" s="434"/>
      <c r="N317" s="434"/>
      <c r="O317" s="434"/>
      <c r="P317" s="434"/>
      <c r="Q317" s="434"/>
      <c r="R317" s="434"/>
      <c r="S317" s="434"/>
      <c r="T317" s="434"/>
      <c r="U317" s="434"/>
    </row>
    <row r="318">
      <c r="A318" s="434"/>
      <c r="B318" s="434"/>
      <c r="C318" s="434"/>
      <c r="D318" s="434"/>
      <c r="E318" s="434"/>
      <c r="F318" s="434"/>
      <c r="G318" s="434"/>
      <c r="H318" s="434"/>
      <c r="I318" s="434"/>
      <c r="J318" s="434"/>
      <c r="K318" s="434"/>
      <c r="L318" s="434"/>
      <c r="M318" s="434"/>
      <c r="N318" s="434"/>
      <c r="O318" s="434"/>
      <c r="P318" s="434"/>
      <c r="Q318" s="434"/>
      <c r="R318" s="434"/>
      <c r="S318" s="434"/>
      <c r="T318" s="434"/>
      <c r="U318" s="434"/>
    </row>
    <row r="319">
      <c r="A319" s="434"/>
      <c r="B319" s="434"/>
      <c r="C319" s="434"/>
      <c r="D319" s="434"/>
      <c r="E319" s="434"/>
      <c r="F319" s="434"/>
      <c r="G319" s="434"/>
      <c r="H319" s="434"/>
      <c r="I319" s="434"/>
      <c r="J319" s="434"/>
      <c r="K319" s="434"/>
      <c r="L319" s="434"/>
      <c r="M319" s="434"/>
      <c r="N319" s="434"/>
      <c r="O319" s="434"/>
      <c r="P319" s="434"/>
      <c r="Q319" s="434"/>
      <c r="R319" s="434"/>
      <c r="S319" s="434"/>
      <c r="T319" s="434"/>
      <c r="U319" s="434"/>
    </row>
    <row r="320">
      <c r="A320" s="434"/>
      <c r="B320" s="434"/>
      <c r="C320" s="434"/>
      <c r="D320" s="434"/>
      <c r="E320" s="434"/>
      <c r="F320" s="434"/>
      <c r="G320" s="434"/>
      <c r="H320" s="434"/>
      <c r="I320" s="434"/>
      <c r="J320" s="434"/>
      <c r="K320" s="434"/>
      <c r="L320" s="434"/>
      <c r="M320" s="434"/>
      <c r="N320" s="434"/>
      <c r="O320" s="434"/>
      <c r="P320" s="434"/>
      <c r="Q320" s="434"/>
      <c r="R320" s="434"/>
      <c r="S320" s="434"/>
      <c r="T320" s="434"/>
      <c r="U320" s="434"/>
    </row>
    <row r="321">
      <c r="A321" s="434"/>
      <c r="B321" s="434"/>
      <c r="C321" s="434"/>
      <c r="D321" s="434"/>
      <c r="E321" s="434"/>
      <c r="F321" s="434"/>
      <c r="G321" s="434"/>
      <c r="H321" s="434"/>
      <c r="I321" s="434"/>
      <c r="J321" s="434"/>
      <c r="K321" s="434"/>
      <c r="L321" s="434"/>
      <c r="M321" s="434"/>
      <c r="N321" s="434"/>
      <c r="O321" s="434"/>
      <c r="P321" s="434"/>
      <c r="Q321" s="434"/>
      <c r="R321" s="434"/>
      <c r="S321" s="434"/>
      <c r="T321" s="434"/>
      <c r="U321" s="434"/>
    </row>
    <row r="322">
      <c r="A322" s="434"/>
      <c r="B322" s="434"/>
      <c r="C322" s="434"/>
      <c r="D322" s="434"/>
      <c r="E322" s="434"/>
      <c r="F322" s="434"/>
      <c r="G322" s="434"/>
      <c r="H322" s="434"/>
      <c r="I322" s="434"/>
      <c r="J322" s="434"/>
      <c r="K322" s="434"/>
      <c r="L322" s="434"/>
      <c r="M322" s="434"/>
      <c r="N322" s="434"/>
      <c r="O322" s="434"/>
      <c r="P322" s="434"/>
      <c r="Q322" s="434"/>
      <c r="R322" s="434"/>
      <c r="S322" s="434"/>
      <c r="T322" s="434"/>
      <c r="U322" s="434"/>
    </row>
    <row r="323">
      <c r="A323" s="434"/>
      <c r="B323" s="434"/>
      <c r="C323" s="434"/>
      <c r="D323" s="434"/>
      <c r="E323" s="434"/>
      <c r="F323" s="434"/>
      <c r="G323" s="434"/>
      <c r="H323" s="434"/>
      <c r="I323" s="434"/>
      <c r="J323" s="434"/>
      <c r="K323" s="434"/>
      <c r="L323" s="434"/>
      <c r="M323" s="434"/>
      <c r="N323" s="434"/>
      <c r="O323" s="434"/>
      <c r="P323" s="434"/>
      <c r="Q323" s="434"/>
      <c r="R323" s="434"/>
      <c r="S323" s="434"/>
      <c r="T323" s="434"/>
      <c r="U323" s="434"/>
    </row>
    <row r="324">
      <c r="A324" s="434"/>
      <c r="B324" s="434"/>
      <c r="C324" s="434"/>
      <c r="D324" s="434"/>
      <c r="E324" s="434"/>
      <c r="F324" s="434"/>
      <c r="G324" s="434"/>
      <c r="H324" s="434"/>
      <c r="I324" s="434"/>
      <c r="J324" s="434"/>
      <c r="K324" s="434"/>
      <c r="L324" s="434"/>
      <c r="M324" s="434"/>
      <c r="N324" s="434"/>
      <c r="O324" s="434"/>
      <c r="P324" s="434"/>
      <c r="Q324" s="434"/>
      <c r="R324" s="434"/>
      <c r="S324" s="434"/>
      <c r="T324" s="434"/>
      <c r="U324" s="434"/>
    </row>
    <row r="325">
      <c r="A325" s="434"/>
      <c r="B325" s="434"/>
      <c r="C325" s="434"/>
      <c r="D325" s="434"/>
      <c r="E325" s="434"/>
      <c r="F325" s="434"/>
      <c r="G325" s="434"/>
      <c r="H325" s="434"/>
      <c r="I325" s="434"/>
      <c r="J325" s="434"/>
      <c r="K325" s="434"/>
      <c r="L325" s="434"/>
      <c r="M325" s="434"/>
      <c r="N325" s="434"/>
      <c r="O325" s="434"/>
      <c r="P325" s="434"/>
      <c r="Q325" s="434"/>
      <c r="R325" s="434"/>
      <c r="S325" s="434"/>
      <c r="T325" s="434"/>
      <c r="U325" s="434"/>
    </row>
    <row r="326">
      <c r="A326" s="434"/>
      <c r="B326" s="434"/>
      <c r="C326" s="434"/>
      <c r="D326" s="434"/>
      <c r="E326" s="434"/>
      <c r="F326" s="434"/>
      <c r="G326" s="434"/>
      <c r="H326" s="434"/>
      <c r="I326" s="434"/>
      <c r="J326" s="434"/>
      <c r="K326" s="434"/>
      <c r="L326" s="434"/>
      <c r="M326" s="434"/>
      <c r="N326" s="434"/>
      <c r="O326" s="434"/>
      <c r="P326" s="434"/>
      <c r="Q326" s="434"/>
      <c r="R326" s="434"/>
      <c r="S326" s="434"/>
      <c r="T326" s="434"/>
      <c r="U326" s="434"/>
    </row>
    <row r="327">
      <c r="A327" s="434"/>
      <c r="B327" s="434"/>
      <c r="C327" s="434"/>
      <c r="D327" s="434"/>
      <c r="E327" s="434"/>
      <c r="F327" s="434"/>
      <c r="G327" s="434"/>
      <c r="H327" s="434"/>
      <c r="I327" s="434"/>
      <c r="J327" s="434"/>
      <c r="K327" s="434"/>
      <c r="L327" s="434"/>
      <c r="M327" s="434"/>
      <c r="N327" s="434"/>
      <c r="O327" s="434"/>
      <c r="P327" s="434"/>
      <c r="Q327" s="434"/>
      <c r="R327" s="434"/>
      <c r="S327" s="434"/>
      <c r="T327" s="434"/>
      <c r="U327" s="434"/>
    </row>
    <row r="328">
      <c r="A328" s="434"/>
      <c r="B328" s="434"/>
      <c r="C328" s="434"/>
      <c r="D328" s="434"/>
      <c r="E328" s="434"/>
      <c r="F328" s="434"/>
      <c r="G328" s="434"/>
      <c r="H328" s="434"/>
      <c r="I328" s="434"/>
      <c r="J328" s="434"/>
      <c r="K328" s="434"/>
      <c r="L328" s="434"/>
      <c r="M328" s="434"/>
      <c r="N328" s="434"/>
      <c r="O328" s="434"/>
      <c r="P328" s="434"/>
      <c r="Q328" s="434"/>
      <c r="R328" s="434"/>
      <c r="S328" s="434"/>
      <c r="T328" s="434"/>
      <c r="U328" s="434"/>
    </row>
    <row r="329">
      <c r="A329" s="434"/>
      <c r="B329" s="434"/>
      <c r="C329" s="434"/>
      <c r="D329" s="434"/>
      <c r="E329" s="434"/>
      <c r="F329" s="434"/>
      <c r="G329" s="434"/>
      <c r="H329" s="434"/>
      <c r="I329" s="434"/>
      <c r="J329" s="434"/>
      <c r="K329" s="434"/>
      <c r="L329" s="434"/>
      <c r="M329" s="434"/>
      <c r="N329" s="434"/>
      <c r="O329" s="434"/>
      <c r="P329" s="434"/>
      <c r="Q329" s="434"/>
      <c r="R329" s="434"/>
      <c r="S329" s="434"/>
      <c r="T329" s="434"/>
      <c r="U329" s="434"/>
    </row>
    <row r="330">
      <c r="A330" s="434"/>
      <c r="B330" s="434"/>
      <c r="C330" s="434"/>
      <c r="D330" s="434"/>
      <c r="E330" s="434"/>
      <c r="F330" s="434"/>
      <c r="G330" s="434"/>
      <c r="H330" s="434"/>
      <c r="I330" s="434"/>
      <c r="J330" s="434"/>
      <c r="K330" s="434"/>
      <c r="L330" s="434"/>
      <c r="M330" s="434"/>
      <c r="N330" s="434"/>
      <c r="O330" s="434"/>
      <c r="P330" s="434"/>
      <c r="Q330" s="434"/>
      <c r="R330" s="434"/>
      <c r="S330" s="434"/>
      <c r="T330" s="434"/>
      <c r="U330" s="434"/>
    </row>
    <row r="331">
      <c r="A331" s="434"/>
      <c r="B331" s="434"/>
      <c r="C331" s="434"/>
      <c r="D331" s="434"/>
      <c r="E331" s="434"/>
      <c r="F331" s="434"/>
      <c r="G331" s="434"/>
      <c r="H331" s="434"/>
      <c r="I331" s="434"/>
      <c r="J331" s="434"/>
      <c r="K331" s="434"/>
      <c r="L331" s="434"/>
      <c r="M331" s="434"/>
      <c r="N331" s="434"/>
      <c r="O331" s="434"/>
      <c r="P331" s="434"/>
      <c r="Q331" s="434"/>
      <c r="R331" s="434"/>
      <c r="S331" s="434"/>
      <c r="T331" s="434"/>
      <c r="U331" s="434"/>
    </row>
    <row r="332">
      <c r="A332" s="434"/>
      <c r="B332" s="434"/>
      <c r="C332" s="434"/>
      <c r="D332" s="434"/>
      <c r="E332" s="434"/>
      <c r="F332" s="434"/>
      <c r="G332" s="434"/>
      <c r="H332" s="434"/>
      <c r="I332" s="434"/>
      <c r="J332" s="434"/>
      <c r="K332" s="434"/>
      <c r="L332" s="434"/>
      <c r="M332" s="434"/>
      <c r="N332" s="434"/>
      <c r="O332" s="434"/>
      <c r="P332" s="434"/>
      <c r="Q332" s="434"/>
      <c r="R332" s="434"/>
      <c r="S332" s="434"/>
      <c r="T332" s="434"/>
      <c r="U332" s="434"/>
    </row>
    <row r="333">
      <c r="A333" s="434"/>
      <c r="B333" s="434"/>
      <c r="C333" s="434"/>
      <c r="D333" s="434"/>
      <c r="E333" s="434"/>
      <c r="F333" s="434"/>
      <c r="G333" s="434"/>
      <c r="H333" s="434"/>
      <c r="I333" s="434"/>
      <c r="J333" s="434"/>
      <c r="K333" s="434"/>
      <c r="L333" s="434"/>
      <c r="M333" s="434"/>
      <c r="N333" s="434"/>
      <c r="O333" s="434"/>
      <c r="P333" s="434"/>
      <c r="Q333" s="434"/>
      <c r="R333" s="434"/>
      <c r="S333" s="434"/>
      <c r="T333" s="434"/>
      <c r="U333" s="434"/>
    </row>
    <row r="334">
      <c r="A334" s="434"/>
      <c r="B334" s="434"/>
      <c r="C334" s="434"/>
      <c r="D334" s="434"/>
      <c r="E334" s="434"/>
      <c r="F334" s="434"/>
      <c r="G334" s="434"/>
      <c r="H334" s="434"/>
      <c r="I334" s="434"/>
      <c r="J334" s="434"/>
      <c r="K334" s="434"/>
      <c r="L334" s="434"/>
      <c r="M334" s="434"/>
      <c r="N334" s="434"/>
      <c r="O334" s="434"/>
      <c r="P334" s="434"/>
      <c r="Q334" s="434"/>
      <c r="R334" s="434"/>
      <c r="S334" s="434"/>
      <c r="T334" s="434"/>
      <c r="U334" s="434"/>
    </row>
    <row r="335">
      <c r="A335" s="434"/>
      <c r="B335" s="434"/>
      <c r="C335" s="434"/>
      <c r="D335" s="434"/>
      <c r="E335" s="434"/>
      <c r="F335" s="434"/>
      <c r="G335" s="434"/>
      <c r="H335" s="434"/>
      <c r="I335" s="434"/>
      <c r="J335" s="434"/>
      <c r="K335" s="434"/>
      <c r="L335" s="434"/>
      <c r="M335" s="434"/>
      <c r="N335" s="434"/>
      <c r="O335" s="434"/>
      <c r="P335" s="434"/>
      <c r="Q335" s="434"/>
      <c r="R335" s="434"/>
      <c r="S335" s="434"/>
      <c r="T335" s="434"/>
      <c r="U335" s="434"/>
    </row>
    <row r="336">
      <c r="A336" s="434"/>
      <c r="B336" s="434"/>
      <c r="C336" s="434"/>
      <c r="D336" s="434"/>
      <c r="E336" s="434"/>
      <c r="F336" s="434"/>
      <c r="G336" s="434"/>
      <c r="H336" s="434"/>
      <c r="I336" s="434"/>
      <c r="J336" s="434"/>
      <c r="K336" s="434"/>
      <c r="L336" s="434"/>
      <c r="M336" s="434"/>
      <c r="N336" s="434"/>
      <c r="O336" s="434"/>
      <c r="P336" s="434"/>
      <c r="Q336" s="434"/>
      <c r="R336" s="434"/>
      <c r="S336" s="434"/>
      <c r="T336" s="434"/>
      <c r="U336" s="434"/>
    </row>
    <row r="337">
      <c r="A337" s="434"/>
      <c r="B337" s="434"/>
      <c r="C337" s="434"/>
      <c r="D337" s="434"/>
      <c r="E337" s="434"/>
      <c r="F337" s="434"/>
      <c r="G337" s="434"/>
      <c r="H337" s="434"/>
      <c r="I337" s="434"/>
      <c r="J337" s="434"/>
      <c r="K337" s="434"/>
      <c r="L337" s="434"/>
      <c r="M337" s="434"/>
      <c r="N337" s="434"/>
      <c r="O337" s="434"/>
      <c r="P337" s="434"/>
      <c r="Q337" s="434"/>
      <c r="R337" s="434"/>
      <c r="S337" s="434"/>
      <c r="T337" s="434"/>
      <c r="U337" s="434"/>
    </row>
    <row r="338">
      <c r="A338" s="434"/>
      <c r="B338" s="434"/>
      <c r="C338" s="434"/>
      <c r="D338" s="434"/>
      <c r="E338" s="434"/>
      <c r="F338" s="434"/>
      <c r="G338" s="434"/>
      <c r="H338" s="434"/>
      <c r="I338" s="434"/>
      <c r="J338" s="434"/>
      <c r="K338" s="434"/>
      <c r="L338" s="434"/>
      <c r="M338" s="434"/>
      <c r="N338" s="434"/>
      <c r="O338" s="434"/>
      <c r="P338" s="434"/>
      <c r="Q338" s="434"/>
      <c r="R338" s="434"/>
      <c r="S338" s="434"/>
      <c r="T338" s="434"/>
      <c r="U338" s="434"/>
    </row>
    <row r="339">
      <c r="A339" s="434"/>
      <c r="B339" s="434"/>
      <c r="C339" s="434"/>
      <c r="D339" s="434"/>
      <c r="E339" s="434"/>
      <c r="F339" s="434"/>
      <c r="G339" s="434"/>
      <c r="H339" s="434"/>
      <c r="I339" s="434"/>
      <c r="J339" s="434"/>
      <c r="K339" s="434"/>
      <c r="L339" s="434"/>
      <c r="M339" s="434"/>
      <c r="N339" s="434"/>
      <c r="O339" s="434"/>
      <c r="P339" s="434"/>
      <c r="Q339" s="434"/>
      <c r="R339" s="434"/>
      <c r="S339" s="434"/>
      <c r="T339" s="434"/>
      <c r="U339" s="434"/>
    </row>
    <row r="340">
      <c r="A340" s="434"/>
      <c r="B340" s="434"/>
      <c r="C340" s="434"/>
      <c r="D340" s="434"/>
      <c r="E340" s="434"/>
      <c r="F340" s="434"/>
      <c r="G340" s="434"/>
      <c r="H340" s="434"/>
      <c r="I340" s="434"/>
      <c r="J340" s="434"/>
      <c r="K340" s="434"/>
      <c r="L340" s="434"/>
      <c r="M340" s="434"/>
      <c r="N340" s="434"/>
      <c r="O340" s="434"/>
      <c r="P340" s="434"/>
      <c r="Q340" s="434"/>
      <c r="R340" s="434"/>
      <c r="S340" s="434"/>
      <c r="T340" s="434"/>
      <c r="U340" s="434"/>
    </row>
    <row r="341">
      <c r="A341" s="434"/>
      <c r="B341" s="434"/>
      <c r="C341" s="434"/>
      <c r="D341" s="434"/>
      <c r="E341" s="434"/>
      <c r="F341" s="434"/>
      <c r="G341" s="434"/>
      <c r="H341" s="434"/>
      <c r="I341" s="434"/>
      <c r="J341" s="434"/>
      <c r="K341" s="434"/>
      <c r="L341" s="434"/>
      <c r="M341" s="434"/>
      <c r="N341" s="434"/>
      <c r="O341" s="434"/>
      <c r="P341" s="434"/>
      <c r="Q341" s="434"/>
      <c r="R341" s="434"/>
      <c r="S341" s="434"/>
      <c r="T341" s="434"/>
      <c r="U341" s="434"/>
    </row>
    <row r="342">
      <c r="A342" s="434"/>
      <c r="B342" s="434"/>
      <c r="C342" s="434"/>
      <c r="D342" s="434"/>
      <c r="E342" s="434"/>
      <c r="F342" s="434"/>
      <c r="G342" s="434"/>
      <c r="H342" s="434"/>
      <c r="I342" s="434"/>
      <c r="J342" s="434"/>
      <c r="K342" s="434"/>
      <c r="L342" s="434"/>
      <c r="M342" s="434"/>
      <c r="N342" s="434"/>
      <c r="O342" s="434"/>
      <c r="P342" s="434"/>
      <c r="Q342" s="434"/>
      <c r="R342" s="434"/>
      <c r="S342" s="434"/>
      <c r="T342" s="434"/>
      <c r="U342" s="434"/>
    </row>
    <row r="343">
      <c r="A343" s="434"/>
      <c r="B343" s="434"/>
      <c r="C343" s="434"/>
      <c r="D343" s="434"/>
      <c r="E343" s="434"/>
      <c r="F343" s="434"/>
      <c r="G343" s="434"/>
      <c r="H343" s="434"/>
      <c r="I343" s="434"/>
      <c r="J343" s="434"/>
      <c r="K343" s="434"/>
      <c r="L343" s="434"/>
      <c r="M343" s="434"/>
      <c r="N343" s="434"/>
      <c r="O343" s="434"/>
      <c r="P343" s="434"/>
      <c r="Q343" s="434"/>
      <c r="R343" s="434"/>
      <c r="S343" s="434"/>
      <c r="T343" s="434"/>
      <c r="U343" s="434"/>
    </row>
    <row r="344">
      <c r="A344" s="434"/>
      <c r="B344" s="434"/>
      <c r="C344" s="434"/>
      <c r="D344" s="434"/>
      <c r="E344" s="434"/>
      <c r="F344" s="434"/>
      <c r="G344" s="434"/>
      <c r="H344" s="434"/>
      <c r="I344" s="434"/>
      <c r="J344" s="434"/>
      <c r="K344" s="434"/>
      <c r="L344" s="434"/>
      <c r="M344" s="434"/>
      <c r="N344" s="434"/>
      <c r="O344" s="434"/>
      <c r="P344" s="434"/>
      <c r="Q344" s="434"/>
      <c r="R344" s="434"/>
      <c r="S344" s="434"/>
      <c r="T344" s="434"/>
      <c r="U344" s="434"/>
    </row>
    <row r="345">
      <c r="A345" s="434"/>
      <c r="B345" s="434"/>
      <c r="C345" s="434"/>
      <c r="D345" s="434"/>
      <c r="E345" s="434"/>
      <c r="F345" s="434"/>
      <c r="G345" s="434"/>
      <c r="H345" s="434"/>
      <c r="I345" s="434"/>
      <c r="J345" s="434"/>
      <c r="K345" s="434"/>
      <c r="L345" s="434"/>
      <c r="M345" s="434"/>
      <c r="N345" s="434"/>
      <c r="O345" s="434"/>
      <c r="P345" s="434"/>
      <c r="Q345" s="434"/>
      <c r="R345" s="434"/>
      <c r="S345" s="434"/>
      <c r="T345" s="434"/>
      <c r="U345" s="434"/>
    </row>
    <row r="346">
      <c r="A346" s="434"/>
      <c r="B346" s="434"/>
      <c r="C346" s="434"/>
      <c r="D346" s="434"/>
      <c r="E346" s="434"/>
      <c r="F346" s="434"/>
      <c r="G346" s="434"/>
      <c r="H346" s="434"/>
      <c r="I346" s="434"/>
      <c r="J346" s="434"/>
      <c r="K346" s="434"/>
      <c r="L346" s="434"/>
      <c r="M346" s="434"/>
      <c r="N346" s="434"/>
      <c r="O346" s="434"/>
      <c r="P346" s="434"/>
      <c r="Q346" s="434"/>
      <c r="R346" s="434"/>
      <c r="S346" s="434"/>
      <c r="T346" s="434"/>
      <c r="U346" s="434"/>
    </row>
    <row r="347">
      <c r="A347" s="434"/>
      <c r="B347" s="434"/>
      <c r="C347" s="434"/>
      <c r="D347" s="434"/>
      <c r="E347" s="434"/>
      <c r="F347" s="434"/>
      <c r="G347" s="434"/>
      <c r="H347" s="434"/>
      <c r="I347" s="434"/>
      <c r="J347" s="434"/>
      <c r="K347" s="434"/>
      <c r="L347" s="434"/>
      <c r="M347" s="434"/>
      <c r="N347" s="434"/>
      <c r="O347" s="434"/>
      <c r="P347" s="434"/>
      <c r="Q347" s="434"/>
      <c r="R347" s="434"/>
      <c r="S347" s="434"/>
      <c r="T347" s="434"/>
      <c r="U347" s="434"/>
    </row>
    <row r="348">
      <c r="A348" s="434"/>
      <c r="B348" s="434"/>
      <c r="C348" s="434"/>
      <c r="D348" s="434"/>
      <c r="E348" s="434"/>
      <c r="F348" s="434"/>
      <c r="G348" s="434"/>
      <c r="H348" s="434"/>
      <c r="I348" s="434"/>
      <c r="J348" s="434"/>
      <c r="K348" s="434"/>
      <c r="L348" s="434"/>
      <c r="M348" s="434"/>
      <c r="N348" s="434"/>
      <c r="O348" s="434"/>
      <c r="P348" s="434"/>
      <c r="Q348" s="434"/>
      <c r="R348" s="434"/>
      <c r="S348" s="434"/>
      <c r="T348" s="434"/>
      <c r="U348" s="434"/>
    </row>
    <row r="349">
      <c r="A349" s="434"/>
      <c r="B349" s="434"/>
      <c r="C349" s="434"/>
      <c r="D349" s="434"/>
      <c r="E349" s="434"/>
      <c r="F349" s="434"/>
      <c r="G349" s="434"/>
      <c r="H349" s="434"/>
      <c r="I349" s="434"/>
      <c r="J349" s="434"/>
      <c r="K349" s="434"/>
      <c r="L349" s="434"/>
      <c r="M349" s="434"/>
      <c r="N349" s="434"/>
      <c r="O349" s="434"/>
      <c r="P349" s="434"/>
      <c r="Q349" s="434"/>
      <c r="R349" s="434"/>
      <c r="S349" s="434"/>
      <c r="T349" s="434"/>
      <c r="U349" s="434"/>
    </row>
    <row r="350">
      <c r="A350" s="434"/>
      <c r="B350" s="434"/>
      <c r="C350" s="434"/>
      <c r="D350" s="434"/>
      <c r="E350" s="434"/>
      <c r="F350" s="434"/>
      <c r="G350" s="434"/>
      <c r="H350" s="434"/>
      <c r="I350" s="434"/>
      <c r="J350" s="434"/>
      <c r="K350" s="434"/>
      <c r="L350" s="434"/>
      <c r="M350" s="434"/>
      <c r="N350" s="434"/>
      <c r="O350" s="434"/>
      <c r="P350" s="434"/>
      <c r="Q350" s="434"/>
      <c r="R350" s="434"/>
      <c r="S350" s="434"/>
      <c r="T350" s="434"/>
      <c r="U350" s="434"/>
    </row>
    <row r="351">
      <c r="A351" s="434"/>
      <c r="B351" s="434"/>
      <c r="C351" s="434"/>
      <c r="D351" s="434"/>
      <c r="E351" s="434"/>
      <c r="F351" s="434"/>
      <c r="G351" s="434"/>
      <c r="H351" s="434"/>
      <c r="I351" s="434"/>
      <c r="J351" s="434"/>
      <c r="K351" s="434"/>
      <c r="L351" s="434"/>
      <c r="M351" s="434"/>
      <c r="N351" s="434"/>
      <c r="O351" s="434"/>
      <c r="P351" s="434"/>
      <c r="Q351" s="434"/>
      <c r="R351" s="434"/>
      <c r="S351" s="434"/>
      <c r="T351" s="434"/>
      <c r="U351" s="434"/>
    </row>
    <row r="352">
      <c r="A352" s="434"/>
      <c r="B352" s="434"/>
      <c r="C352" s="434"/>
      <c r="D352" s="434"/>
      <c r="E352" s="434"/>
      <c r="F352" s="434"/>
      <c r="G352" s="434"/>
      <c r="H352" s="434"/>
      <c r="I352" s="434"/>
      <c r="J352" s="434"/>
      <c r="K352" s="434"/>
      <c r="L352" s="434"/>
      <c r="M352" s="434"/>
      <c r="N352" s="434"/>
      <c r="O352" s="434"/>
      <c r="P352" s="434"/>
      <c r="Q352" s="434"/>
      <c r="R352" s="434"/>
      <c r="S352" s="434"/>
      <c r="T352" s="434"/>
      <c r="U352" s="434"/>
    </row>
    <row r="353">
      <c r="A353" s="434"/>
      <c r="B353" s="434"/>
      <c r="C353" s="434"/>
      <c r="D353" s="434"/>
      <c r="E353" s="434"/>
      <c r="F353" s="434"/>
      <c r="G353" s="434"/>
      <c r="H353" s="434"/>
      <c r="I353" s="434"/>
      <c r="J353" s="434"/>
      <c r="K353" s="434"/>
      <c r="L353" s="434"/>
      <c r="M353" s="434"/>
      <c r="N353" s="434"/>
      <c r="O353" s="434"/>
      <c r="P353" s="434"/>
      <c r="Q353" s="434"/>
      <c r="R353" s="434"/>
      <c r="S353" s="434"/>
      <c r="T353" s="434"/>
      <c r="U353" s="434"/>
    </row>
    <row r="354">
      <c r="A354" s="434"/>
      <c r="B354" s="434"/>
      <c r="C354" s="434"/>
      <c r="D354" s="434"/>
      <c r="E354" s="434"/>
      <c r="F354" s="434"/>
      <c r="G354" s="434"/>
      <c r="H354" s="434"/>
      <c r="I354" s="434"/>
      <c r="J354" s="434"/>
      <c r="K354" s="434"/>
      <c r="L354" s="434"/>
      <c r="M354" s="434"/>
      <c r="N354" s="434"/>
      <c r="O354" s="434"/>
      <c r="P354" s="434"/>
      <c r="Q354" s="434"/>
      <c r="R354" s="434"/>
      <c r="S354" s="434"/>
      <c r="T354" s="434"/>
      <c r="U354" s="434"/>
    </row>
    <row r="355">
      <c r="A355" s="434"/>
      <c r="B355" s="434"/>
      <c r="C355" s="434"/>
      <c r="D355" s="434"/>
      <c r="E355" s="434"/>
      <c r="F355" s="434"/>
      <c r="G355" s="434"/>
      <c r="H355" s="434"/>
      <c r="I355" s="434"/>
      <c r="J355" s="434"/>
      <c r="K355" s="434"/>
      <c r="L355" s="434"/>
      <c r="M355" s="434"/>
      <c r="N355" s="434"/>
      <c r="O355" s="434"/>
      <c r="P355" s="434"/>
      <c r="Q355" s="434"/>
      <c r="R355" s="434"/>
      <c r="S355" s="434"/>
      <c r="T355" s="434"/>
      <c r="U355" s="434"/>
    </row>
    <row r="356">
      <c r="A356" s="434"/>
      <c r="B356" s="434"/>
      <c r="C356" s="434"/>
      <c r="D356" s="434"/>
      <c r="E356" s="434"/>
      <c r="F356" s="434"/>
      <c r="G356" s="434"/>
      <c r="H356" s="434"/>
      <c r="I356" s="434"/>
      <c r="J356" s="434"/>
      <c r="K356" s="434"/>
      <c r="L356" s="434"/>
      <c r="M356" s="434"/>
      <c r="N356" s="434"/>
      <c r="O356" s="434"/>
      <c r="P356" s="434"/>
      <c r="Q356" s="434"/>
      <c r="R356" s="434"/>
      <c r="S356" s="434"/>
      <c r="T356" s="434"/>
      <c r="U356" s="434"/>
    </row>
    <row r="357">
      <c r="A357" s="434"/>
      <c r="B357" s="434"/>
      <c r="C357" s="434"/>
      <c r="D357" s="434"/>
      <c r="E357" s="434"/>
      <c r="F357" s="434"/>
      <c r="G357" s="434"/>
      <c r="H357" s="434"/>
      <c r="I357" s="434"/>
      <c r="J357" s="434"/>
      <c r="K357" s="434"/>
      <c r="L357" s="434"/>
      <c r="M357" s="434"/>
      <c r="N357" s="434"/>
      <c r="O357" s="434"/>
      <c r="P357" s="434"/>
      <c r="Q357" s="434"/>
      <c r="R357" s="434"/>
      <c r="S357" s="434"/>
      <c r="T357" s="434"/>
      <c r="U357" s="434"/>
    </row>
    <row r="358">
      <c r="A358" s="434"/>
      <c r="B358" s="434"/>
      <c r="C358" s="434"/>
      <c r="D358" s="434"/>
      <c r="E358" s="434"/>
      <c r="F358" s="434"/>
      <c r="G358" s="434"/>
      <c r="H358" s="434"/>
      <c r="I358" s="434"/>
      <c r="J358" s="434"/>
      <c r="K358" s="434"/>
      <c r="L358" s="434"/>
      <c r="M358" s="434"/>
      <c r="N358" s="434"/>
      <c r="O358" s="434"/>
      <c r="P358" s="434"/>
      <c r="Q358" s="434"/>
      <c r="R358" s="434"/>
      <c r="S358" s="434"/>
      <c r="T358" s="434"/>
      <c r="U358" s="434"/>
    </row>
    <row r="359">
      <c r="A359" s="434"/>
      <c r="B359" s="434"/>
      <c r="C359" s="434"/>
      <c r="D359" s="434"/>
      <c r="E359" s="434"/>
      <c r="F359" s="434"/>
      <c r="G359" s="434"/>
      <c r="H359" s="434"/>
      <c r="I359" s="434"/>
      <c r="J359" s="434"/>
      <c r="K359" s="434"/>
      <c r="L359" s="434"/>
      <c r="M359" s="434"/>
      <c r="N359" s="434"/>
      <c r="O359" s="434"/>
      <c r="P359" s="434"/>
      <c r="Q359" s="434"/>
      <c r="R359" s="434"/>
      <c r="S359" s="434"/>
      <c r="T359" s="434"/>
      <c r="U359" s="434"/>
    </row>
    <row r="360">
      <c r="A360" s="434"/>
      <c r="B360" s="434"/>
      <c r="C360" s="434"/>
      <c r="D360" s="434"/>
      <c r="E360" s="434"/>
      <c r="F360" s="434"/>
      <c r="G360" s="434"/>
      <c r="H360" s="434"/>
      <c r="I360" s="434"/>
      <c r="J360" s="434"/>
      <c r="K360" s="434"/>
      <c r="L360" s="434"/>
      <c r="M360" s="434"/>
      <c r="N360" s="434"/>
      <c r="O360" s="434"/>
      <c r="P360" s="434"/>
      <c r="Q360" s="434"/>
      <c r="R360" s="434"/>
      <c r="S360" s="434"/>
      <c r="T360" s="434"/>
      <c r="U360" s="434"/>
    </row>
    <row r="361">
      <c r="A361" s="434"/>
      <c r="B361" s="434"/>
      <c r="C361" s="434"/>
      <c r="D361" s="434"/>
      <c r="E361" s="434"/>
      <c r="F361" s="434"/>
      <c r="G361" s="434"/>
      <c r="H361" s="434"/>
      <c r="I361" s="434"/>
      <c r="J361" s="434"/>
      <c r="K361" s="434"/>
      <c r="L361" s="434"/>
      <c r="M361" s="434"/>
      <c r="N361" s="434"/>
      <c r="O361" s="434"/>
      <c r="P361" s="434"/>
      <c r="Q361" s="434"/>
      <c r="R361" s="434"/>
      <c r="S361" s="434"/>
      <c r="T361" s="434"/>
      <c r="U361" s="434"/>
    </row>
    <row r="362">
      <c r="A362" s="434"/>
      <c r="B362" s="434"/>
      <c r="C362" s="434"/>
      <c r="D362" s="434"/>
      <c r="E362" s="434"/>
      <c r="F362" s="434"/>
      <c r="G362" s="434"/>
      <c r="H362" s="434"/>
      <c r="I362" s="434"/>
      <c r="J362" s="434"/>
      <c r="K362" s="434"/>
      <c r="L362" s="434"/>
      <c r="M362" s="434"/>
      <c r="N362" s="434"/>
      <c r="O362" s="434"/>
      <c r="P362" s="434"/>
      <c r="Q362" s="434"/>
      <c r="R362" s="434"/>
      <c r="S362" s="434"/>
      <c r="T362" s="434"/>
      <c r="U362" s="434"/>
    </row>
    <row r="363">
      <c r="A363" s="434"/>
      <c r="B363" s="434"/>
      <c r="C363" s="434"/>
      <c r="D363" s="434"/>
      <c r="E363" s="434"/>
      <c r="F363" s="434"/>
      <c r="G363" s="434"/>
      <c r="H363" s="434"/>
      <c r="I363" s="434"/>
      <c r="J363" s="434"/>
      <c r="K363" s="434"/>
      <c r="L363" s="434"/>
      <c r="M363" s="434"/>
      <c r="N363" s="434"/>
      <c r="O363" s="434"/>
      <c r="P363" s="434"/>
      <c r="Q363" s="434"/>
      <c r="R363" s="434"/>
      <c r="S363" s="434"/>
      <c r="T363" s="434"/>
      <c r="U363" s="434"/>
    </row>
    <row r="364">
      <c r="A364" s="434"/>
      <c r="B364" s="434"/>
      <c r="C364" s="434"/>
      <c r="D364" s="434"/>
      <c r="E364" s="434"/>
      <c r="F364" s="434"/>
      <c r="G364" s="434"/>
      <c r="H364" s="434"/>
      <c r="I364" s="434"/>
      <c r="J364" s="434"/>
      <c r="K364" s="434"/>
      <c r="L364" s="434"/>
      <c r="M364" s="434"/>
      <c r="N364" s="434"/>
      <c r="O364" s="434"/>
      <c r="P364" s="434"/>
      <c r="Q364" s="434"/>
      <c r="R364" s="434"/>
      <c r="S364" s="434"/>
      <c r="T364" s="434"/>
      <c r="U364" s="434"/>
    </row>
    <row r="365">
      <c r="A365" s="434"/>
      <c r="B365" s="434"/>
      <c r="C365" s="434"/>
      <c r="D365" s="434"/>
      <c r="E365" s="434"/>
      <c r="F365" s="434"/>
      <c r="G365" s="434"/>
      <c r="H365" s="434"/>
      <c r="I365" s="434"/>
      <c r="J365" s="434"/>
      <c r="K365" s="434"/>
      <c r="L365" s="434"/>
      <c r="M365" s="434"/>
      <c r="N365" s="434"/>
      <c r="O365" s="434"/>
      <c r="P365" s="434"/>
      <c r="Q365" s="434"/>
      <c r="R365" s="434"/>
      <c r="S365" s="434"/>
      <c r="T365" s="434"/>
      <c r="U365" s="434"/>
    </row>
    <row r="366">
      <c r="A366" s="434"/>
      <c r="B366" s="434"/>
      <c r="C366" s="434"/>
      <c r="D366" s="434"/>
      <c r="E366" s="434"/>
      <c r="F366" s="434"/>
      <c r="G366" s="434"/>
      <c r="H366" s="434"/>
      <c r="I366" s="434"/>
      <c r="J366" s="434"/>
      <c r="K366" s="434"/>
      <c r="L366" s="434"/>
      <c r="M366" s="434"/>
      <c r="N366" s="434"/>
      <c r="O366" s="434"/>
      <c r="P366" s="434"/>
      <c r="Q366" s="434"/>
      <c r="R366" s="434"/>
      <c r="S366" s="434"/>
      <c r="T366" s="434"/>
      <c r="U366" s="434"/>
    </row>
    <row r="367">
      <c r="A367" s="434"/>
      <c r="B367" s="434"/>
      <c r="C367" s="434"/>
      <c r="D367" s="434"/>
      <c r="E367" s="434"/>
      <c r="F367" s="434"/>
      <c r="G367" s="434"/>
      <c r="H367" s="434"/>
      <c r="I367" s="434"/>
      <c r="J367" s="434"/>
      <c r="K367" s="434"/>
      <c r="L367" s="434"/>
      <c r="M367" s="434"/>
      <c r="N367" s="434"/>
      <c r="O367" s="434"/>
      <c r="P367" s="434"/>
      <c r="Q367" s="434"/>
      <c r="R367" s="434"/>
      <c r="S367" s="434"/>
      <c r="T367" s="434"/>
      <c r="U367" s="434"/>
    </row>
    <row r="368">
      <c r="A368" s="434"/>
      <c r="B368" s="434"/>
      <c r="C368" s="434"/>
      <c r="D368" s="434"/>
      <c r="E368" s="434"/>
      <c r="F368" s="434"/>
      <c r="G368" s="434"/>
      <c r="H368" s="434"/>
      <c r="I368" s="434"/>
      <c r="J368" s="434"/>
      <c r="K368" s="434"/>
      <c r="L368" s="434"/>
      <c r="M368" s="434"/>
      <c r="N368" s="434"/>
      <c r="O368" s="434"/>
      <c r="P368" s="434"/>
      <c r="Q368" s="434"/>
      <c r="R368" s="434"/>
      <c r="S368" s="434"/>
      <c r="T368" s="434"/>
      <c r="U368" s="434"/>
    </row>
    <row r="369">
      <c r="A369" s="434"/>
      <c r="B369" s="434"/>
      <c r="C369" s="434"/>
      <c r="D369" s="434"/>
      <c r="E369" s="434"/>
      <c r="F369" s="434"/>
      <c r="G369" s="434"/>
      <c r="H369" s="434"/>
      <c r="I369" s="434"/>
      <c r="J369" s="434"/>
      <c r="K369" s="434"/>
      <c r="L369" s="434"/>
      <c r="M369" s="434"/>
      <c r="N369" s="434"/>
      <c r="O369" s="434"/>
      <c r="P369" s="434"/>
      <c r="Q369" s="434"/>
      <c r="R369" s="434"/>
      <c r="S369" s="434"/>
      <c r="T369" s="434"/>
      <c r="U369" s="434"/>
    </row>
    <row r="370">
      <c r="A370" s="434"/>
      <c r="B370" s="434"/>
      <c r="C370" s="434"/>
      <c r="D370" s="434"/>
      <c r="E370" s="434"/>
      <c r="F370" s="434"/>
      <c r="G370" s="434"/>
      <c r="H370" s="434"/>
      <c r="I370" s="434"/>
      <c r="J370" s="434"/>
      <c r="K370" s="434"/>
      <c r="L370" s="434"/>
      <c r="M370" s="434"/>
      <c r="N370" s="434"/>
      <c r="O370" s="434"/>
      <c r="P370" s="434"/>
      <c r="Q370" s="434"/>
      <c r="R370" s="434"/>
      <c r="S370" s="434"/>
      <c r="T370" s="434"/>
      <c r="U370" s="434"/>
    </row>
    <row r="371">
      <c r="A371" s="434"/>
      <c r="B371" s="434"/>
      <c r="C371" s="434"/>
      <c r="D371" s="434"/>
      <c r="E371" s="434"/>
      <c r="F371" s="434"/>
      <c r="G371" s="434"/>
      <c r="H371" s="434"/>
      <c r="I371" s="434"/>
      <c r="J371" s="434"/>
      <c r="K371" s="434"/>
      <c r="L371" s="434"/>
      <c r="M371" s="434"/>
      <c r="N371" s="434"/>
      <c r="O371" s="434"/>
      <c r="P371" s="434"/>
      <c r="Q371" s="434"/>
      <c r="R371" s="434"/>
      <c r="S371" s="434"/>
      <c r="T371" s="434"/>
      <c r="U371" s="434"/>
    </row>
    <row r="372">
      <c r="A372" s="434"/>
      <c r="B372" s="434"/>
      <c r="C372" s="434"/>
      <c r="D372" s="434"/>
      <c r="E372" s="434"/>
      <c r="F372" s="434"/>
      <c r="G372" s="434"/>
      <c r="H372" s="434"/>
      <c r="I372" s="434"/>
      <c r="J372" s="434"/>
      <c r="K372" s="434"/>
      <c r="L372" s="434"/>
      <c r="M372" s="434"/>
      <c r="N372" s="434"/>
      <c r="O372" s="434"/>
      <c r="P372" s="434"/>
      <c r="Q372" s="434"/>
      <c r="R372" s="434"/>
      <c r="S372" s="434"/>
      <c r="T372" s="434"/>
      <c r="U372" s="434"/>
    </row>
    <row r="373">
      <c r="A373" s="434"/>
      <c r="B373" s="434"/>
      <c r="C373" s="434"/>
      <c r="D373" s="434"/>
      <c r="E373" s="434"/>
      <c r="F373" s="434"/>
      <c r="G373" s="434"/>
      <c r="H373" s="434"/>
      <c r="I373" s="434"/>
      <c r="J373" s="434"/>
      <c r="K373" s="434"/>
      <c r="L373" s="434"/>
      <c r="M373" s="434"/>
      <c r="N373" s="434"/>
      <c r="O373" s="434"/>
      <c r="P373" s="434"/>
      <c r="Q373" s="434"/>
      <c r="R373" s="434"/>
      <c r="S373" s="434"/>
      <c r="T373" s="434"/>
      <c r="U373" s="434"/>
    </row>
    <row r="374">
      <c r="A374" s="434"/>
      <c r="B374" s="434"/>
      <c r="C374" s="434"/>
      <c r="D374" s="434"/>
      <c r="E374" s="434"/>
      <c r="F374" s="434"/>
      <c r="G374" s="434"/>
      <c r="H374" s="434"/>
      <c r="I374" s="434"/>
      <c r="J374" s="434"/>
      <c r="K374" s="434"/>
      <c r="L374" s="434"/>
      <c r="M374" s="434"/>
      <c r="N374" s="434"/>
      <c r="O374" s="434"/>
      <c r="P374" s="434"/>
      <c r="Q374" s="434"/>
      <c r="R374" s="434"/>
      <c r="S374" s="434"/>
      <c r="T374" s="434"/>
      <c r="U374" s="434"/>
    </row>
    <row r="375">
      <c r="A375" s="434"/>
      <c r="B375" s="434"/>
      <c r="C375" s="434"/>
      <c r="D375" s="434"/>
      <c r="E375" s="434"/>
      <c r="F375" s="434"/>
      <c r="G375" s="434"/>
      <c r="H375" s="434"/>
      <c r="I375" s="434"/>
      <c r="J375" s="434"/>
      <c r="K375" s="434"/>
      <c r="L375" s="434"/>
      <c r="M375" s="434"/>
      <c r="N375" s="434"/>
      <c r="O375" s="434"/>
      <c r="P375" s="434"/>
      <c r="Q375" s="434"/>
      <c r="R375" s="434"/>
      <c r="S375" s="434"/>
      <c r="T375" s="434"/>
      <c r="U375" s="434"/>
    </row>
    <row r="376">
      <c r="A376" s="434"/>
      <c r="B376" s="434"/>
      <c r="C376" s="434"/>
      <c r="D376" s="434"/>
      <c r="E376" s="434"/>
      <c r="F376" s="434"/>
      <c r="G376" s="434"/>
      <c r="H376" s="434"/>
      <c r="I376" s="434"/>
      <c r="J376" s="434"/>
      <c r="K376" s="434"/>
      <c r="L376" s="434"/>
      <c r="M376" s="434"/>
      <c r="N376" s="434"/>
      <c r="O376" s="434"/>
      <c r="P376" s="434"/>
      <c r="Q376" s="434"/>
      <c r="R376" s="434"/>
      <c r="S376" s="434"/>
      <c r="T376" s="434"/>
      <c r="U376" s="434"/>
    </row>
    <row r="377">
      <c r="A377" s="434"/>
      <c r="B377" s="434"/>
      <c r="C377" s="434"/>
      <c r="D377" s="434"/>
      <c r="E377" s="434"/>
      <c r="F377" s="434"/>
      <c r="G377" s="434"/>
      <c r="H377" s="434"/>
      <c r="I377" s="434"/>
      <c r="J377" s="434"/>
      <c r="K377" s="434"/>
      <c r="L377" s="434"/>
      <c r="M377" s="434"/>
      <c r="N377" s="434"/>
      <c r="O377" s="434"/>
      <c r="P377" s="434"/>
      <c r="Q377" s="434"/>
      <c r="R377" s="434"/>
      <c r="S377" s="434"/>
      <c r="T377" s="434"/>
      <c r="U377" s="434"/>
    </row>
    <row r="378">
      <c r="A378" s="434"/>
      <c r="B378" s="434"/>
      <c r="C378" s="434"/>
      <c r="D378" s="434"/>
      <c r="E378" s="434"/>
      <c r="F378" s="434"/>
      <c r="G378" s="434"/>
      <c r="H378" s="434"/>
      <c r="I378" s="434"/>
      <c r="J378" s="434"/>
      <c r="K378" s="434"/>
      <c r="L378" s="434"/>
      <c r="M378" s="434"/>
      <c r="N378" s="434"/>
      <c r="O378" s="434"/>
      <c r="P378" s="434"/>
      <c r="Q378" s="434"/>
      <c r="R378" s="434"/>
      <c r="S378" s="434"/>
      <c r="T378" s="434"/>
      <c r="U378" s="434"/>
    </row>
    <row r="379">
      <c r="A379" s="434"/>
      <c r="B379" s="434"/>
      <c r="C379" s="434"/>
      <c r="D379" s="434"/>
      <c r="E379" s="434"/>
      <c r="F379" s="434"/>
      <c r="G379" s="434"/>
      <c r="H379" s="434"/>
      <c r="I379" s="434"/>
      <c r="J379" s="434"/>
      <c r="K379" s="434"/>
      <c r="L379" s="434"/>
      <c r="M379" s="434"/>
      <c r="N379" s="434"/>
      <c r="O379" s="434"/>
      <c r="P379" s="434"/>
      <c r="Q379" s="434"/>
      <c r="R379" s="434"/>
      <c r="S379" s="434"/>
      <c r="T379" s="434"/>
      <c r="U379" s="434"/>
    </row>
    <row r="380">
      <c r="A380" s="434"/>
      <c r="B380" s="434"/>
      <c r="C380" s="434"/>
      <c r="D380" s="434"/>
      <c r="E380" s="434"/>
      <c r="F380" s="434"/>
      <c r="G380" s="434"/>
      <c r="H380" s="434"/>
      <c r="I380" s="434"/>
      <c r="J380" s="434"/>
      <c r="K380" s="434"/>
      <c r="L380" s="434"/>
      <c r="M380" s="434"/>
      <c r="N380" s="434"/>
      <c r="O380" s="434"/>
      <c r="P380" s="434"/>
      <c r="Q380" s="434"/>
      <c r="R380" s="434"/>
      <c r="S380" s="434"/>
      <c r="T380" s="434"/>
      <c r="U380" s="434"/>
    </row>
    <row r="381">
      <c r="A381" s="434"/>
      <c r="B381" s="434"/>
      <c r="C381" s="434"/>
      <c r="D381" s="434"/>
      <c r="E381" s="434"/>
      <c r="F381" s="434"/>
      <c r="G381" s="434"/>
      <c r="H381" s="434"/>
      <c r="I381" s="434"/>
      <c r="J381" s="434"/>
      <c r="K381" s="434"/>
      <c r="L381" s="434"/>
      <c r="M381" s="434"/>
      <c r="N381" s="434"/>
      <c r="O381" s="434"/>
      <c r="P381" s="434"/>
      <c r="Q381" s="434"/>
      <c r="R381" s="434"/>
      <c r="S381" s="434"/>
      <c r="T381" s="434"/>
      <c r="U381" s="434"/>
    </row>
    <row r="382">
      <c r="A382" s="434"/>
      <c r="B382" s="434"/>
      <c r="C382" s="434"/>
      <c r="D382" s="434"/>
      <c r="E382" s="434"/>
      <c r="F382" s="434"/>
      <c r="G382" s="434"/>
      <c r="H382" s="434"/>
      <c r="I382" s="434"/>
      <c r="J382" s="434"/>
      <c r="K382" s="434"/>
      <c r="L382" s="434"/>
      <c r="M382" s="434"/>
      <c r="N382" s="434"/>
      <c r="O382" s="434"/>
      <c r="P382" s="434"/>
      <c r="Q382" s="434"/>
      <c r="R382" s="434"/>
      <c r="S382" s="434"/>
      <c r="T382" s="434"/>
      <c r="U382" s="434"/>
    </row>
    <row r="383">
      <c r="A383" s="434"/>
      <c r="B383" s="434"/>
      <c r="C383" s="434"/>
      <c r="D383" s="434"/>
      <c r="E383" s="434"/>
      <c r="F383" s="434"/>
      <c r="G383" s="434"/>
      <c r="H383" s="434"/>
      <c r="I383" s="434"/>
      <c r="J383" s="434"/>
      <c r="K383" s="434"/>
      <c r="L383" s="434"/>
      <c r="M383" s="434"/>
      <c r="N383" s="434"/>
      <c r="O383" s="434"/>
      <c r="P383" s="434"/>
      <c r="Q383" s="434"/>
      <c r="R383" s="434"/>
      <c r="S383" s="434"/>
      <c r="T383" s="434"/>
      <c r="U383" s="434"/>
    </row>
    <row r="384">
      <c r="A384" s="434"/>
      <c r="B384" s="434"/>
      <c r="C384" s="434"/>
      <c r="D384" s="434"/>
      <c r="E384" s="434"/>
      <c r="F384" s="434"/>
      <c r="G384" s="434"/>
      <c r="H384" s="434"/>
      <c r="I384" s="434"/>
      <c r="J384" s="434"/>
      <c r="K384" s="434"/>
      <c r="L384" s="434"/>
      <c r="M384" s="434"/>
      <c r="N384" s="434"/>
      <c r="O384" s="434"/>
      <c r="P384" s="434"/>
      <c r="Q384" s="434"/>
      <c r="R384" s="434"/>
      <c r="S384" s="434"/>
      <c r="T384" s="434"/>
      <c r="U384" s="434"/>
    </row>
    <row r="385">
      <c r="A385" s="434"/>
      <c r="B385" s="434"/>
      <c r="C385" s="434"/>
      <c r="D385" s="434"/>
      <c r="E385" s="434"/>
      <c r="F385" s="434"/>
      <c r="G385" s="434"/>
      <c r="H385" s="434"/>
      <c r="I385" s="434"/>
      <c r="J385" s="434"/>
      <c r="K385" s="434"/>
      <c r="L385" s="434"/>
      <c r="M385" s="434"/>
      <c r="N385" s="434"/>
      <c r="O385" s="434"/>
      <c r="P385" s="434"/>
      <c r="Q385" s="434"/>
      <c r="R385" s="434"/>
      <c r="S385" s="434"/>
      <c r="T385" s="434"/>
      <c r="U385" s="434"/>
    </row>
    <row r="386">
      <c r="A386" s="434"/>
      <c r="B386" s="434"/>
      <c r="C386" s="434"/>
      <c r="D386" s="434"/>
      <c r="E386" s="434"/>
      <c r="F386" s="434"/>
      <c r="G386" s="434"/>
      <c r="H386" s="434"/>
      <c r="I386" s="434"/>
      <c r="J386" s="434"/>
      <c r="K386" s="434"/>
      <c r="L386" s="434"/>
      <c r="M386" s="434"/>
      <c r="N386" s="434"/>
      <c r="O386" s="434"/>
      <c r="P386" s="434"/>
      <c r="Q386" s="434"/>
      <c r="R386" s="434"/>
      <c r="S386" s="434"/>
      <c r="T386" s="434"/>
      <c r="U386" s="434"/>
    </row>
    <row r="387">
      <c r="A387" s="434"/>
      <c r="B387" s="434"/>
      <c r="C387" s="434"/>
      <c r="D387" s="434"/>
      <c r="E387" s="434"/>
      <c r="F387" s="434"/>
      <c r="G387" s="434"/>
      <c r="H387" s="434"/>
      <c r="I387" s="434"/>
      <c r="J387" s="434"/>
      <c r="K387" s="434"/>
      <c r="L387" s="434"/>
      <c r="M387" s="434"/>
      <c r="N387" s="434"/>
      <c r="O387" s="434"/>
      <c r="P387" s="434"/>
      <c r="Q387" s="434"/>
      <c r="R387" s="434"/>
      <c r="S387" s="434"/>
      <c r="T387" s="434"/>
      <c r="U387" s="434"/>
    </row>
    <row r="388">
      <c r="A388" s="434"/>
      <c r="B388" s="434"/>
      <c r="C388" s="434"/>
      <c r="D388" s="434"/>
      <c r="E388" s="434"/>
      <c r="F388" s="434"/>
      <c r="G388" s="434"/>
      <c r="H388" s="434"/>
      <c r="I388" s="434"/>
      <c r="J388" s="434"/>
      <c r="K388" s="434"/>
      <c r="L388" s="434"/>
      <c r="M388" s="434"/>
      <c r="N388" s="434"/>
      <c r="O388" s="434"/>
      <c r="P388" s="434"/>
      <c r="Q388" s="434"/>
      <c r="R388" s="434"/>
      <c r="S388" s="434"/>
      <c r="T388" s="434"/>
      <c r="U388" s="434"/>
    </row>
    <row r="389">
      <c r="A389" s="434"/>
      <c r="B389" s="434"/>
      <c r="C389" s="434"/>
      <c r="D389" s="434"/>
      <c r="E389" s="434"/>
      <c r="F389" s="434"/>
      <c r="G389" s="434"/>
      <c r="H389" s="434"/>
      <c r="I389" s="434"/>
      <c r="J389" s="434"/>
      <c r="K389" s="434"/>
      <c r="L389" s="434"/>
      <c r="M389" s="434"/>
      <c r="N389" s="434"/>
      <c r="O389" s="434"/>
      <c r="P389" s="434"/>
      <c r="Q389" s="434"/>
      <c r="R389" s="434"/>
      <c r="S389" s="434"/>
      <c r="T389" s="434"/>
      <c r="U389" s="434"/>
    </row>
    <row r="390">
      <c r="A390" s="434"/>
      <c r="B390" s="434"/>
      <c r="C390" s="434"/>
      <c r="D390" s="434"/>
      <c r="E390" s="434"/>
      <c r="F390" s="434"/>
      <c r="G390" s="434"/>
      <c r="H390" s="434"/>
      <c r="I390" s="434"/>
      <c r="J390" s="434"/>
      <c r="K390" s="434"/>
      <c r="L390" s="434"/>
      <c r="M390" s="434"/>
      <c r="N390" s="434"/>
      <c r="O390" s="434"/>
      <c r="P390" s="434"/>
      <c r="Q390" s="434"/>
      <c r="R390" s="434"/>
      <c r="S390" s="434"/>
      <c r="T390" s="434"/>
      <c r="U390" s="434"/>
    </row>
    <row r="391">
      <c r="A391" s="434"/>
      <c r="B391" s="434"/>
      <c r="C391" s="434"/>
      <c r="D391" s="434"/>
      <c r="E391" s="434"/>
      <c r="F391" s="434"/>
      <c r="G391" s="434"/>
      <c r="H391" s="434"/>
      <c r="I391" s="434"/>
      <c r="J391" s="434"/>
      <c r="K391" s="434"/>
      <c r="L391" s="434"/>
      <c r="M391" s="434"/>
      <c r="N391" s="434"/>
      <c r="O391" s="434"/>
      <c r="P391" s="434"/>
      <c r="Q391" s="434"/>
      <c r="R391" s="434"/>
      <c r="S391" s="434"/>
      <c r="T391" s="434"/>
      <c r="U391" s="434"/>
    </row>
    <row r="392">
      <c r="A392" s="434"/>
      <c r="B392" s="434"/>
      <c r="C392" s="434"/>
      <c r="D392" s="434"/>
      <c r="E392" s="434"/>
      <c r="F392" s="434"/>
      <c r="G392" s="434"/>
      <c r="H392" s="434"/>
      <c r="I392" s="434"/>
      <c r="J392" s="434"/>
      <c r="K392" s="434"/>
      <c r="L392" s="434"/>
      <c r="M392" s="434"/>
      <c r="N392" s="434"/>
      <c r="O392" s="434"/>
      <c r="P392" s="434"/>
      <c r="Q392" s="434"/>
      <c r="R392" s="434"/>
      <c r="S392" s="434"/>
      <c r="T392" s="434"/>
      <c r="U392" s="434"/>
    </row>
    <row r="393">
      <c r="A393" s="434"/>
      <c r="B393" s="434"/>
      <c r="C393" s="434"/>
      <c r="D393" s="434"/>
      <c r="E393" s="434"/>
      <c r="F393" s="434"/>
      <c r="G393" s="434"/>
      <c r="H393" s="434"/>
      <c r="I393" s="434"/>
      <c r="J393" s="434"/>
      <c r="K393" s="434"/>
      <c r="L393" s="434"/>
      <c r="M393" s="434"/>
      <c r="N393" s="434"/>
      <c r="O393" s="434"/>
      <c r="P393" s="434"/>
      <c r="Q393" s="434"/>
      <c r="R393" s="434"/>
      <c r="S393" s="434"/>
      <c r="T393" s="434"/>
      <c r="U393" s="434"/>
    </row>
    <row r="394">
      <c r="A394" s="434"/>
      <c r="B394" s="434"/>
      <c r="C394" s="434"/>
      <c r="D394" s="434"/>
      <c r="E394" s="434"/>
      <c r="F394" s="434"/>
      <c r="G394" s="434"/>
      <c r="H394" s="434"/>
      <c r="I394" s="434"/>
      <c r="J394" s="434"/>
      <c r="K394" s="434"/>
      <c r="L394" s="434"/>
      <c r="M394" s="434"/>
      <c r="N394" s="434"/>
      <c r="O394" s="434"/>
      <c r="P394" s="434"/>
      <c r="Q394" s="434"/>
      <c r="R394" s="434"/>
      <c r="S394" s="434"/>
      <c r="T394" s="434"/>
      <c r="U394" s="434"/>
    </row>
    <row r="395">
      <c r="A395" s="434"/>
      <c r="B395" s="434"/>
      <c r="C395" s="434"/>
      <c r="D395" s="434"/>
      <c r="E395" s="434"/>
      <c r="F395" s="434"/>
      <c r="G395" s="434"/>
      <c r="H395" s="434"/>
      <c r="I395" s="434"/>
      <c r="J395" s="434"/>
      <c r="K395" s="434"/>
      <c r="L395" s="434"/>
      <c r="M395" s="434"/>
      <c r="N395" s="434"/>
      <c r="O395" s="434"/>
      <c r="P395" s="434"/>
      <c r="Q395" s="434"/>
      <c r="R395" s="434"/>
      <c r="S395" s="434"/>
      <c r="T395" s="434"/>
      <c r="U395" s="434"/>
    </row>
    <row r="396">
      <c r="A396" s="434"/>
      <c r="B396" s="434"/>
      <c r="C396" s="434"/>
      <c r="D396" s="434"/>
      <c r="E396" s="434"/>
      <c r="F396" s="434"/>
      <c r="G396" s="434"/>
      <c r="H396" s="434"/>
      <c r="I396" s="434"/>
      <c r="J396" s="434"/>
      <c r="K396" s="434"/>
      <c r="L396" s="434"/>
      <c r="M396" s="434"/>
      <c r="N396" s="434"/>
      <c r="O396" s="434"/>
      <c r="P396" s="434"/>
      <c r="Q396" s="434"/>
      <c r="R396" s="434"/>
      <c r="S396" s="434"/>
      <c r="T396" s="434"/>
      <c r="U396" s="434"/>
    </row>
    <row r="397">
      <c r="A397" s="434"/>
      <c r="B397" s="434"/>
      <c r="C397" s="434"/>
      <c r="D397" s="434"/>
      <c r="E397" s="434"/>
      <c r="F397" s="434"/>
      <c r="G397" s="434"/>
      <c r="H397" s="434"/>
      <c r="I397" s="434"/>
      <c r="J397" s="434"/>
      <c r="K397" s="434"/>
      <c r="L397" s="434"/>
      <c r="M397" s="434"/>
      <c r="N397" s="434"/>
      <c r="O397" s="434"/>
      <c r="P397" s="434"/>
      <c r="Q397" s="434"/>
      <c r="R397" s="434"/>
      <c r="S397" s="434"/>
      <c r="T397" s="434"/>
      <c r="U397" s="434"/>
    </row>
    <row r="398">
      <c r="A398" s="434"/>
      <c r="B398" s="434"/>
      <c r="C398" s="434"/>
      <c r="D398" s="434"/>
      <c r="E398" s="434"/>
      <c r="F398" s="434"/>
      <c r="G398" s="434"/>
      <c r="H398" s="434"/>
      <c r="I398" s="434"/>
      <c r="J398" s="434"/>
      <c r="K398" s="434"/>
      <c r="L398" s="434"/>
      <c r="M398" s="434"/>
      <c r="N398" s="434"/>
      <c r="O398" s="434"/>
      <c r="P398" s="434"/>
      <c r="Q398" s="434"/>
      <c r="R398" s="434"/>
      <c r="S398" s="434"/>
      <c r="T398" s="434"/>
      <c r="U398" s="434"/>
    </row>
    <row r="399">
      <c r="A399" s="434"/>
      <c r="B399" s="434"/>
      <c r="C399" s="434"/>
      <c r="D399" s="434"/>
      <c r="E399" s="434"/>
      <c r="F399" s="434"/>
      <c r="G399" s="434"/>
      <c r="H399" s="434"/>
      <c r="I399" s="434"/>
      <c r="J399" s="434"/>
      <c r="K399" s="434"/>
      <c r="L399" s="434"/>
      <c r="M399" s="434"/>
      <c r="N399" s="434"/>
      <c r="O399" s="434"/>
      <c r="P399" s="434"/>
      <c r="Q399" s="434"/>
      <c r="R399" s="434"/>
      <c r="S399" s="434"/>
      <c r="T399" s="434"/>
      <c r="U399" s="434"/>
    </row>
    <row r="400">
      <c r="A400" s="434"/>
      <c r="B400" s="434"/>
      <c r="C400" s="434"/>
      <c r="D400" s="434"/>
      <c r="E400" s="434"/>
      <c r="F400" s="434"/>
      <c r="G400" s="434"/>
      <c r="H400" s="434"/>
      <c r="I400" s="434"/>
      <c r="J400" s="434"/>
      <c r="K400" s="434"/>
      <c r="L400" s="434"/>
      <c r="M400" s="434"/>
      <c r="N400" s="434"/>
      <c r="O400" s="434"/>
      <c r="P400" s="434"/>
      <c r="Q400" s="434"/>
      <c r="R400" s="434"/>
      <c r="S400" s="434"/>
      <c r="T400" s="434"/>
      <c r="U400" s="434"/>
    </row>
    <row r="401">
      <c r="A401" s="434"/>
      <c r="B401" s="434"/>
      <c r="C401" s="434"/>
      <c r="D401" s="434"/>
      <c r="E401" s="434"/>
      <c r="F401" s="434"/>
      <c r="G401" s="434"/>
      <c r="H401" s="434"/>
      <c r="I401" s="434"/>
      <c r="J401" s="434"/>
      <c r="K401" s="434"/>
      <c r="L401" s="434"/>
      <c r="M401" s="434"/>
      <c r="N401" s="434"/>
      <c r="O401" s="434"/>
      <c r="P401" s="434"/>
      <c r="Q401" s="434"/>
      <c r="R401" s="434"/>
      <c r="S401" s="434"/>
      <c r="T401" s="434"/>
      <c r="U401" s="434"/>
    </row>
    <row r="402">
      <c r="A402" s="434"/>
      <c r="B402" s="434"/>
      <c r="C402" s="434"/>
      <c r="D402" s="434"/>
      <c r="E402" s="434"/>
      <c r="F402" s="434"/>
      <c r="G402" s="434"/>
      <c r="H402" s="434"/>
      <c r="I402" s="434"/>
      <c r="J402" s="434"/>
      <c r="K402" s="434"/>
      <c r="L402" s="434"/>
      <c r="M402" s="434"/>
      <c r="N402" s="434"/>
      <c r="O402" s="434"/>
      <c r="P402" s="434"/>
      <c r="Q402" s="434"/>
      <c r="R402" s="434"/>
      <c r="S402" s="434"/>
      <c r="T402" s="434"/>
      <c r="U402" s="434"/>
    </row>
    <row r="403">
      <c r="A403" s="434"/>
      <c r="B403" s="434"/>
      <c r="C403" s="434"/>
      <c r="D403" s="434"/>
      <c r="E403" s="434"/>
      <c r="F403" s="434"/>
      <c r="G403" s="434"/>
      <c r="H403" s="434"/>
      <c r="I403" s="434"/>
      <c r="J403" s="434"/>
      <c r="K403" s="434"/>
      <c r="L403" s="434"/>
      <c r="M403" s="434"/>
      <c r="N403" s="434"/>
      <c r="O403" s="434"/>
      <c r="P403" s="434"/>
      <c r="Q403" s="434"/>
      <c r="R403" s="434"/>
      <c r="S403" s="434"/>
      <c r="T403" s="434"/>
      <c r="U403" s="434"/>
    </row>
    <row r="404">
      <c r="A404" s="434"/>
      <c r="B404" s="434"/>
      <c r="C404" s="434"/>
      <c r="D404" s="434"/>
      <c r="E404" s="434"/>
      <c r="F404" s="434"/>
      <c r="G404" s="434"/>
      <c r="H404" s="434"/>
      <c r="I404" s="434"/>
      <c r="J404" s="434"/>
      <c r="K404" s="434"/>
      <c r="L404" s="434"/>
      <c r="M404" s="434"/>
      <c r="N404" s="434"/>
      <c r="O404" s="434"/>
      <c r="P404" s="434"/>
      <c r="Q404" s="434"/>
      <c r="R404" s="434"/>
      <c r="S404" s="434"/>
      <c r="T404" s="434"/>
      <c r="U404" s="434"/>
    </row>
    <row r="405">
      <c r="A405" s="434"/>
      <c r="B405" s="434"/>
      <c r="C405" s="434"/>
      <c r="D405" s="434"/>
      <c r="E405" s="434"/>
      <c r="F405" s="434"/>
      <c r="G405" s="434"/>
      <c r="H405" s="434"/>
      <c r="I405" s="434"/>
      <c r="J405" s="434"/>
      <c r="K405" s="434"/>
      <c r="L405" s="434"/>
      <c r="M405" s="434"/>
      <c r="N405" s="434"/>
      <c r="O405" s="434"/>
      <c r="P405" s="434"/>
      <c r="Q405" s="434"/>
      <c r="R405" s="434"/>
      <c r="S405" s="434"/>
      <c r="T405" s="434"/>
      <c r="U405" s="434"/>
    </row>
    <row r="406">
      <c r="A406" s="434"/>
      <c r="B406" s="434"/>
      <c r="C406" s="434"/>
      <c r="D406" s="434"/>
      <c r="E406" s="434"/>
      <c r="F406" s="434"/>
      <c r="G406" s="434"/>
      <c r="H406" s="434"/>
      <c r="I406" s="434"/>
      <c r="J406" s="434"/>
      <c r="K406" s="434"/>
      <c r="L406" s="434"/>
      <c r="M406" s="434"/>
      <c r="N406" s="434"/>
      <c r="O406" s="434"/>
      <c r="P406" s="434"/>
      <c r="Q406" s="434"/>
      <c r="R406" s="434"/>
      <c r="S406" s="434"/>
      <c r="T406" s="434"/>
      <c r="U406" s="434"/>
    </row>
    <row r="407">
      <c r="A407" s="434"/>
      <c r="B407" s="434"/>
      <c r="C407" s="434"/>
      <c r="D407" s="434"/>
      <c r="E407" s="434"/>
      <c r="F407" s="434"/>
      <c r="G407" s="434"/>
      <c r="H407" s="434"/>
      <c r="I407" s="434"/>
      <c r="J407" s="434"/>
      <c r="K407" s="434"/>
      <c r="L407" s="434"/>
      <c r="M407" s="434"/>
      <c r="N407" s="434"/>
      <c r="O407" s="434"/>
      <c r="P407" s="434"/>
      <c r="Q407" s="434"/>
      <c r="R407" s="434"/>
      <c r="S407" s="434"/>
      <c r="T407" s="434"/>
      <c r="U407" s="434"/>
    </row>
    <row r="408">
      <c r="A408" s="434"/>
      <c r="B408" s="434"/>
      <c r="C408" s="434"/>
      <c r="D408" s="434"/>
      <c r="E408" s="434"/>
      <c r="F408" s="434"/>
      <c r="G408" s="434"/>
      <c r="H408" s="434"/>
      <c r="I408" s="434"/>
      <c r="J408" s="434"/>
      <c r="K408" s="434"/>
      <c r="L408" s="434"/>
      <c r="M408" s="434"/>
      <c r="N408" s="434"/>
      <c r="O408" s="434"/>
      <c r="P408" s="434"/>
      <c r="Q408" s="434"/>
      <c r="R408" s="434"/>
      <c r="S408" s="434"/>
      <c r="T408" s="434"/>
      <c r="U408" s="434"/>
    </row>
    <row r="409">
      <c r="A409" s="434"/>
      <c r="B409" s="434"/>
      <c r="C409" s="434"/>
      <c r="D409" s="434"/>
      <c r="E409" s="434"/>
      <c r="F409" s="434"/>
      <c r="G409" s="434"/>
      <c r="H409" s="434"/>
      <c r="I409" s="434"/>
      <c r="J409" s="434"/>
      <c r="K409" s="434"/>
      <c r="L409" s="434"/>
      <c r="M409" s="434"/>
      <c r="N409" s="434"/>
      <c r="O409" s="434"/>
      <c r="P409" s="434"/>
      <c r="Q409" s="434"/>
      <c r="R409" s="434"/>
      <c r="S409" s="434"/>
      <c r="T409" s="434"/>
      <c r="U409" s="434"/>
    </row>
    <row r="410">
      <c r="A410" s="434"/>
      <c r="B410" s="434"/>
      <c r="C410" s="434"/>
      <c r="D410" s="434"/>
      <c r="E410" s="434"/>
      <c r="F410" s="434"/>
      <c r="G410" s="434"/>
      <c r="H410" s="434"/>
      <c r="I410" s="434"/>
      <c r="J410" s="434"/>
      <c r="K410" s="434"/>
      <c r="L410" s="434"/>
      <c r="M410" s="434"/>
      <c r="N410" s="434"/>
      <c r="O410" s="434"/>
      <c r="P410" s="434"/>
      <c r="Q410" s="434"/>
      <c r="R410" s="434"/>
      <c r="S410" s="434"/>
      <c r="T410" s="434"/>
      <c r="U410" s="434"/>
    </row>
    <row r="411">
      <c r="A411" s="434"/>
      <c r="B411" s="434"/>
      <c r="C411" s="434"/>
      <c r="D411" s="434"/>
      <c r="E411" s="434"/>
      <c r="F411" s="434"/>
      <c r="G411" s="434"/>
      <c r="H411" s="434"/>
      <c r="I411" s="434"/>
      <c r="J411" s="434"/>
      <c r="K411" s="434"/>
      <c r="L411" s="434"/>
      <c r="M411" s="434"/>
      <c r="N411" s="434"/>
      <c r="O411" s="434"/>
      <c r="P411" s="434"/>
      <c r="Q411" s="434"/>
      <c r="R411" s="434"/>
      <c r="S411" s="434"/>
      <c r="T411" s="434"/>
      <c r="U411" s="434"/>
    </row>
    <row r="412">
      <c r="A412" s="434"/>
      <c r="B412" s="434"/>
      <c r="C412" s="434"/>
      <c r="D412" s="434"/>
      <c r="E412" s="434"/>
      <c r="F412" s="434"/>
      <c r="G412" s="434"/>
      <c r="H412" s="434"/>
      <c r="I412" s="434"/>
      <c r="J412" s="434"/>
      <c r="K412" s="434"/>
      <c r="L412" s="434"/>
      <c r="M412" s="434"/>
      <c r="N412" s="434"/>
      <c r="O412" s="434"/>
      <c r="P412" s="434"/>
      <c r="Q412" s="434"/>
      <c r="R412" s="434"/>
      <c r="S412" s="434"/>
      <c r="T412" s="434"/>
      <c r="U412" s="434"/>
    </row>
    <row r="413">
      <c r="A413" s="434"/>
      <c r="B413" s="434"/>
      <c r="C413" s="434"/>
      <c r="D413" s="434"/>
      <c r="E413" s="434"/>
      <c r="F413" s="434"/>
      <c r="G413" s="434"/>
      <c r="H413" s="434"/>
      <c r="I413" s="434"/>
      <c r="J413" s="434"/>
      <c r="K413" s="434"/>
      <c r="L413" s="434"/>
      <c r="M413" s="434"/>
      <c r="N413" s="434"/>
      <c r="O413" s="434"/>
      <c r="P413" s="434"/>
      <c r="Q413" s="434"/>
      <c r="R413" s="434"/>
      <c r="S413" s="434"/>
      <c r="T413" s="434"/>
      <c r="U413" s="434"/>
    </row>
    <row r="414">
      <c r="A414" s="434"/>
      <c r="B414" s="434"/>
      <c r="C414" s="434"/>
      <c r="D414" s="434"/>
      <c r="E414" s="434"/>
      <c r="F414" s="434"/>
      <c r="G414" s="434"/>
      <c r="H414" s="434"/>
      <c r="I414" s="434"/>
      <c r="J414" s="434"/>
      <c r="K414" s="434"/>
      <c r="L414" s="434"/>
      <c r="M414" s="434"/>
      <c r="N414" s="434"/>
      <c r="O414" s="434"/>
      <c r="P414" s="434"/>
      <c r="Q414" s="434"/>
      <c r="R414" s="434"/>
      <c r="S414" s="434"/>
      <c r="T414" s="434"/>
      <c r="U414" s="434"/>
    </row>
    <row r="415">
      <c r="A415" s="434"/>
      <c r="B415" s="434"/>
      <c r="C415" s="434"/>
      <c r="D415" s="434"/>
      <c r="E415" s="434"/>
      <c r="F415" s="434"/>
      <c r="G415" s="434"/>
      <c r="H415" s="434"/>
      <c r="I415" s="434"/>
      <c r="J415" s="434"/>
      <c r="K415" s="434"/>
      <c r="L415" s="434"/>
      <c r="M415" s="434"/>
      <c r="N415" s="434"/>
      <c r="O415" s="434"/>
      <c r="P415" s="434"/>
      <c r="Q415" s="434"/>
      <c r="R415" s="434"/>
      <c r="S415" s="434"/>
      <c r="T415" s="434"/>
      <c r="U415" s="434"/>
    </row>
    <row r="416">
      <c r="A416" s="434"/>
      <c r="B416" s="434"/>
      <c r="C416" s="434"/>
      <c r="D416" s="434"/>
      <c r="E416" s="434"/>
      <c r="F416" s="434"/>
      <c r="G416" s="434"/>
      <c r="H416" s="434"/>
      <c r="I416" s="434"/>
      <c r="J416" s="434"/>
      <c r="K416" s="434"/>
      <c r="L416" s="434"/>
      <c r="M416" s="434"/>
      <c r="N416" s="434"/>
      <c r="O416" s="434"/>
      <c r="P416" s="434"/>
      <c r="Q416" s="434"/>
      <c r="R416" s="434"/>
      <c r="S416" s="434"/>
      <c r="T416" s="434"/>
      <c r="U416" s="434"/>
    </row>
    <row r="417">
      <c r="A417" s="434"/>
      <c r="B417" s="434"/>
      <c r="C417" s="434"/>
      <c r="D417" s="434"/>
      <c r="E417" s="434"/>
      <c r="F417" s="434"/>
      <c r="G417" s="434"/>
      <c r="H417" s="434"/>
      <c r="I417" s="434"/>
      <c r="J417" s="434"/>
      <c r="K417" s="434"/>
      <c r="L417" s="434"/>
      <c r="M417" s="434"/>
      <c r="N417" s="434"/>
      <c r="O417" s="434"/>
      <c r="P417" s="434"/>
      <c r="Q417" s="434"/>
      <c r="R417" s="434"/>
      <c r="S417" s="434"/>
      <c r="T417" s="434"/>
      <c r="U417" s="434"/>
    </row>
    <row r="418">
      <c r="A418" s="434"/>
      <c r="B418" s="434"/>
      <c r="C418" s="434"/>
      <c r="D418" s="434"/>
      <c r="E418" s="434"/>
      <c r="F418" s="434"/>
      <c r="G418" s="434"/>
      <c r="H418" s="434"/>
      <c r="I418" s="434"/>
      <c r="J418" s="434"/>
      <c r="K418" s="434"/>
      <c r="L418" s="434"/>
      <c r="M418" s="434"/>
      <c r="N418" s="434"/>
      <c r="O418" s="434"/>
      <c r="P418" s="434"/>
      <c r="Q418" s="434"/>
      <c r="R418" s="434"/>
      <c r="S418" s="434"/>
      <c r="T418" s="434"/>
      <c r="U418" s="434"/>
    </row>
    <row r="419">
      <c r="A419" s="434"/>
      <c r="B419" s="434"/>
      <c r="C419" s="434"/>
      <c r="D419" s="434"/>
      <c r="E419" s="434"/>
      <c r="F419" s="434"/>
      <c r="G419" s="434"/>
      <c r="H419" s="434"/>
      <c r="I419" s="434"/>
      <c r="J419" s="434"/>
      <c r="K419" s="434"/>
      <c r="L419" s="434"/>
      <c r="M419" s="434"/>
      <c r="N419" s="434"/>
      <c r="O419" s="434"/>
      <c r="P419" s="434"/>
      <c r="Q419" s="434"/>
      <c r="R419" s="434"/>
      <c r="S419" s="434"/>
      <c r="T419" s="434"/>
      <c r="U419" s="434"/>
    </row>
    <row r="420">
      <c r="A420" s="434"/>
      <c r="B420" s="434"/>
      <c r="C420" s="434"/>
      <c r="D420" s="434"/>
      <c r="E420" s="434"/>
      <c r="F420" s="434"/>
      <c r="G420" s="434"/>
      <c r="H420" s="434"/>
      <c r="I420" s="434"/>
      <c r="J420" s="434"/>
      <c r="K420" s="434"/>
      <c r="L420" s="434"/>
      <c r="M420" s="434"/>
      <c r="N420" s="434"/>
      <c r="O420" s="434"/>
      <c r="P420" s="434"/>
      <c r="Q420" s="434"/>
      <c r="R420" s="434"/>
      <c r="S420" s="434"/>
      <c r="T420" s="434"/>
      <c r="U420" s="434"/>
    </row>
    <row r="421">
      <c r="A421" s="434"/>
      <c r="B421" s="434"/>
      <c r="C421" s="434"/>
      <c r="D421" s="434"/>
      <c r="E421" s="434"/>
      <c r="F421" s="434"/>
      <c r="G421" s="434"/>
      <c r="H421" s="434"/>
      <c r="I421" s="434"/>
      <c r="J421" s="434"/>
      <c r="K421" s="434"/>
      <c r="L421" s="434"/>
      <c r="M421" s="434"/>
      <c r="N421" s="434"/>
      <c r="O421" s="434"/>
      <c r="P421" s="434"/>
      <c r="Q421" s="434"/>
      <c r="R421" s="434"/>
      <c r="S421" s="434"/>
      <c r="T421" s="434"/>
      <c r="U421" s="434"/>
    </row>
    <row r="422">
      <c r="A422" s="434"/>
      <c r="B422" s="434"/>
      <c r="C422" s="434"/>
      <c r="D422" s="434"/>
      <c r="E422" s="434"/>
      <c r="F422" s="434"/>
      <c r="G422" s="434"/>
      <c r="H422" s="434"/>
      <c r="I422" s="434"/>
      <c r="J422" s="434"/>
      <c r="K422" s="434"/>
      <c r="L422" s="434"/>
      <c r="M422" s="434"/>
      <c r="N422" s="434"/>
      <c r="O422" s="434"/>
      <c r="P422" s="434"/>
      <c r="Q422" s="434"/>
      <c r="R422" s="434"/>
      <c r="S422" s="434"/>
      <c r="T422" s="434"/>
      <c r="U422" s="434"/>
    </row>
    <row r="423">
      <c r="A423" s="434"/>
      <c r="B423" s="434"/>
      <c r="C423" s="434"/>
      <c r="D423" s="434"/>
      <c r="E423" s="434"/>
      <c r="F423" s="434"/>
      <c r="G423" s="434"/>
      <c r="H423" s="434"/>
      <c r="I423" s="434"/>
      <c r="J423" s="434"/>
      <c r="K423" s="434"/>
      <c r="L423" s="434"/>
      <c r="M423" s="434"/>
      <c r="N423" s="434"/>
      <c r="O423" s="434"/>
      <c r="P423" s="434"/>
      <c r="Q423" s="434"/>
      <c r="R423" s="434"/>
      <c r="S423" s="434"/>
      <c r="T423" s="434"/>
      <c r="U423" s="434"/>
    </row>
    <row r="424">
      <c r="A424" s="434"/>
      <c r="B424" s="434"/>
      <c r="C424" s="434"/>
      <c r="D424" s="434"/>
      <c r="E424" s="434"/>
      <c r="F424" s="434"/>
      <c r="G424" s="434"/>
      <c r="H424" s="434"/>
      <c r="I424" s="434"/>
      <c r="J424" s="434"/>
      <c r="K424" s="434"/>
      <c r="L424" s="434"/>
      <c r="M424" s="434"/>
      <c r="N424" s="434"/>
      <c r="O424" s="434"/>
      <c r="P424" s="434"/>
      <c r="Q424" s="434"/>
      <c r="R424" s="434"/>
      <c r="S424" s="434"/>
      <c r="T424" s="434"/>
      <c r="U424" s="434"/>
    </row>
    <row r="425">
      <c r="A425" s="434"/>
      <c r="B425" s="434"/>
      <c r="C425" s="434"/>
      <c r="D425" s="434"/>
      <c r="E425" s="434"/>
      <c r="F425" s="434"/>
      <c r="G425" s="434"/>
      <c r="H425" s="434"/>
      <c r="I425" s="434"/>
      <c r="J425" s="434"/>
      <c r="K425" s="434"/>
      <c r="L425" s="434"/>
      <c r="M425" s="434"/>
      <c r="N425" s="434"/>
      <c r="O425" s="434"/>
      <c r="P425" s="434"/>
      <c r="Q425" s="434"/>
      <c r="R425" s="434"/>
      <c r="S425" s="434"/>
      <c r="T425" s="434"/>
      <c r="U425" s="434"/>
    </row>
    <row r="426">
      <c r="A426" s="434"/>
      <c r="B426" s="434"/>
      <c r="C426" s="434"/>
      <c r="D426" s="434"/>
      <c r="E426" s="434"/>
      <c r="F426" s="434"/>
      <c r="G426" s="434"/>
      <c r="H426" s="434"/>
      <c r="I426" s="434"/>
      <c r="J426" s="434"/>
      <c r="K426" s="434"/>
      <c r="L426" s="434"/>
      <c r="M426" s="434"/>
      <c r="N426" s="434"/>
      <c r="O426" s="434"/>
      <c r="P426" s="434"/>
      <c r="Q426" s="434"/>
      <c r="R426" s="434"/>
      <c r="S426" s="434"/>
      <c r="T426" s="434"/>
      <c r="U426" s="434"/>
    </row>
    <row r="427">
      <c r="A427" s="434"/>
      <c r="B427" s="434"/>
      <c r="C427" s="434"/>
      <c r="D427" s="434"/>
      <c r="E427" s="434"/>
      <c r="F427" s="434"/>
      <c r="G427" s="434"/>
      <c r="H427" s="434"/>
      <c r="I427" s="434"/>
      <c r="J427" s="434"/>
      <c r="K427" s="434"/>
      <c r="L427" s="434"/>
      <c r="M427" s="434"/>
      <c r="N427" s="434"/>
      <c r="O427" s="434"/>
      <c r="P427" s="434"/>
      <c r="Q427" s="434"/>
      <c r="R427" s="434"/>
      <c r="S427" s="434"/>
      <c r="T427" s="434"/>
      <c r="U427" s="434"/>
    </row>
    <row r="428">
      <c r="A428" s="434"/>
      <c r="B428" s="434"/>
      <c r="C428" s="434"/>
      <c r="D428" s="434"/>
      <c r="E428" s="434"/>
      <c r="F428" s="434"/>
      <c r="G428" s="434"/>
      <c r="H428" s="434"/>
      <c r="I428" s="434"/>
      <c r="J428" s="434"/>
      <c r="K428" s="434"/>
      <c r="L428" s="434"/>
      <c r="M428" s="434"/>
      <c r="N428" s="434"/>
      <c r="O428" s="434"/>
      <c r="P428" s="434"/>
      <c r="Q428" s="434"/>
      <c r="R428" s="434"/>
      <c r="S428" s="434"/>
      <c r="T428" s="434"/>
      <c r="U428" s="434"/>
    </row>
    <row r="429">
      <c r="A429" s="434"/>
      <c r="B429" s="434"/>
      <c r="C429" s="434"/>
      <c r="D429" s="434"/>
      <c r="E429" s="434"/>
      <c r="F429" s="434"/>
      <c r="G429" s="434"/>
      <c r="H429" s="434"/>
      <c r="I429" s="434"/>
      <c r="J429" s="434"/>
      <c r="K429" s="434"/>
      <c r="L429" s="434"/>
      <c r="M429" s="434"/>
      <c r="N429" s="434"/>
      <c r="O429" s="434"/>
      <c r="P429" s="434"/>
      <c r="Q429" s="434"/>
      <c r="R429" s="434"/>
      <c r="S429" s="434"/>
      <c r="T429" s="434"/>
      <c r="U429" s="434"/>
    </row>
    <row r="430">
      <c r="A430" s="434"/>
      <c r="B430" s="434"/>
      <c r="C430" s="434"/>
      <c r="D430" s="434"/>
      <c r="E430" s="434"/>
      <c r="F430" s="434"/>
      <c r="G430" s="434"/>
      <c r="H430" s="434"/>
      <c r="I430" s="434"/>
      <c r="J430" s="434"/>
      <c r="K430" s="434"/>
      <c r="L430" s="434"/>
      <c r="M430" s="434"/>
      <c r="N430" s="434"/>
      <c r="O430" s="434"/>
      <c r="P430" s="434"/>
      <c r="Q430" s="434"/>
      <c r="R430" s="434"/>
      <c r="S430" s="434"/>
      <c r="T430" s="434"/>
      <c r="U430" s="434"/>
    </row>
    <row r="431">
      <c r="A431" s="434"/>
      <c r="B431" s="434"/>
      <c r="C431" s="434"/>
      <c r="D431" s="434"/>
      <c r="E431" s="434"/>
      <c r="F431" s="434"/>
      <c r="G431" s="434"/>
      <c r="H431" s="434"/>
      <c r="I431" s="434"/>
      <c r="J431" s="434"/>
      <c r="K431" s="434"/>
      <c r="L431" s="434"/>
      <c r="M431" s="434"/>
      <c r="N431" s="434"/>
      <c r="O431" s="434"/>
      <c r="P431" s="434"/>
      <c r="Q431" s="434"/>
      <c r="R431" s="434"/>
      <c r="S431" s="434"/>
      <c r="T431" s="434"/>
      <c r="U431" s="434"/>
    </row>
    <row r="432">
      <c r="A432" s="434"/>
      <c r="B432" s="434"/>
      <c r="C432" s="434"/>
      <c r="D432" s="434"/>
      <c r="E432" s="434"/>
      <c r="F432" s="434"/>
      <c r="G432" s="434"/>
      <c r="H432" s="434"/>
      <c r="I432" s="434"/>
      <c r="J432" s="434"/>
      <c r="K432" s="434"/>
      <c r="L432" s="434"/>
      <c r="M432" s="434"/>
      <c r="N432" s="434"/>
      <c r="O432" s="434"/>
      <c r="P432" s="434"/>
      <c r="Q432" s="434"/>
      <c r="R432" s="434"/>
      <c r="S432" s="434"/>
      <c r="T432" s="434"/>
      <c r="U432" s="434"/>
    </row>
    <row r="433">
      <c r="A433" s="434"/>
      <c r="B433" s="434"/>
      <c r="C433" s="434"/>
      <c r="D433" s="434"/>
      <c r="E433" s="434"/>
      <c r="F433" s="434"/>
      <c r="G433" s="434"/>
      <c r="H433" s="434"/>
      <c r="I433" s="434"/>
      <c r="J433" s="434"/>
      <c r="K433" s="434"/>
      <c r="L433" s="434"/>
      <c r="M433" s="434"/>
      <c r="N433" s="434"/>
      <c r="O433" s="434"/>
      <c r="P433" s="434"/>
      <c r="Q433" s="434"/>
      <c r="R433" s="434"/>
      <c r="S433" s="434"/>
      <c r="T433" s="434"/>
      <c r="U433" s="434"/>
    </row>
    <row r="434">
      <c r="A434" s="434"/>
      <c r="B434" s="434"/>
      <c r="C434" s="434"/>
      <c r="D434" s="434"/>
      <c r="E434" s="434"/>
      <c r="F434" s="434"/>
      <c r="G434" s="434"/>
      <c r="H434" s="434"/>
      <c r="I434" s="434"/>
      <c r="J434" s="434"/>
      <c r="K434" s="434"/>
      <c r="L434" s="434"/>
      <c r="M434" s="434"/>
      <c r="N434" s="434"/>
      <c r="O434" s="434"/>
      <c r="P434" s="434"/>
      <c r="Q434" s="434"/>
      <c r="R434" s="434"/>
      <c r="S434" s="434"/>
      <c r="T434" s="434"/>
      <c r="U434" s="434"/>
    </row>
    <row r="435">
      <c r="A435" s="434"/>
      <c r="B435" s="434"/>
      <c r="C435" s="434"/>
      <c r="D435" s="434"/>
      <c r="E435" s="434"/>
      <c r="F435" s="434"/>
      <c r="G435" s="434"/>
      <c r="H435" s="434"/>
      <c r="I435" s="434"/>
      <c r="J435" s="434"/>
      <c r="K435" s="434"/>
      <c r="L435" s="434"/>
      <c r="M435" s="434"/>
      <c r="N435" s="434"/>
      <c r="O435" s="434"/>
      <c r="P435" s="434"/>
      <c r="Q435" s="434"/>
      <c r="R435" s="434"/>
      <c r="S435" s="434"/>
      <c r="T435" s="434"/>
      <c r="U435" s="434"/>
    </row>
    <row r="436">
      <c r="A436" s="434"/>
      <c r="B436" s="434"/>
      <c r="C436" s="434"/>
      <c r="D436" s="434"/>
      <c r="E436" s="434"/>
      <c r="F436" s="434"/>
      <c r="G436" s="434"/>
      <c r="H436" s="434"/>
      <c r="I436" s="434"/>
      <c r="J436" s="434"/>
      <c r="K436" s="434"/>
      <c r="L436" s="434"/>
      <c r="M436" s="434"/>
      <c r="N436" s="434"/>
      <c r="O436" s="434"/>
      <c r="P436" s="434"/>
      <c r="Q436" s="434"/>
      <c r="R436" s="434"/>
      <c r="S436" s="434"/>
      <c r="T436" s="434"/>
      <c r="U436" s="434"/>
    </row>
    <row r="437">
      <c r="A437" s="434"/>
      <c r="B437" s="434"/>
      <c r="C437" s="434"/>
      <c r="D437" s="434"/>
      <c r="E437" s="434"/>
      <c r="F437" s="434"/>
      <c r="G437" s="434"/>
      <c r="H437" s="434"/>
      <c r="I437" s="434"/>
      <c r="J437" s="434"/>
      <c r="K437" s="434"/>
      <c r="L437" s="434"/>
      <c r="M437" s="434"/>
      <c r="N437" s="434"/>
      <c r="O437" s="434"/>
      <c r="P437" s="434"/>
      <c r="Q437" s="434"/>
      <c r="R437" s="434"/>
      <c r="S437" s="434"/>
      <c r="T437" s="434"/>
      <c r="U437" s="434"/>
    </row>
    <row r="438">
      <c r="A438" s="434"/>
      <c r="B438" s="434"/>
      <c r="C438" s="434"/>
      <c r="D438" s="434"/>
      <c r="E438" s="434"/>
      <c r="F438" s="434"/>
      <c r="G438" s="434"/>
      <c r="H438" s="434"/>
      <c r="I438" s="434"/>
      <c r="J438" s="434"/>
      <c r="K438" s="434"/>
      <c r="L438" s="434"/>
      <c r="M438" s="434"/>
      <c r="N438" s="434"/>
      <c r="O438" s="434"/>
      <c r="P438" s="434"/>
      <c r="Q438" s="434"/>
      <c r="R438" s="434"/>
      <c r="S438" s="434"/>
      <c r="T438" s="434"/>
      <c r="U438" s="434"/>
    </row>
    <row r="439">
      <c r="A439" s="434"/>
      <c r="B439" s="434"/>
      <c r="C439" s="434"/>
      <c r="D439" s="434"/>
      <c r="E439" s="434"/>
      <c r="F439" s="434"/>
      <c r="G439" s="434"/>
      <c r="H439" s="434"/>
      <c r="I439" s="434"/>
      <c r="J439" s="434"/>
      <c r="K439" s="434"/>
      <c r="L439" s="434"/>
      <c r="M439" s="434"/>
      <c r="N439" s="434"/>
      <c r="O439" s="434"/>
      <c r="P439" s="434"/>
      <c r="Q439" s="434"/>
      <c r="R439" s="434"/>
      <c r="S439" s="434"/>
      <c r="T439" s="434"/>
      <c r="U439" s="434"/>
    </row>
    <row r="440">
      <c r="A440" s="434"/>
      <c r="B440" s="434"/>
      <c r="C440" s="434"/>
      <c r="D440" s="434"/>
      <c r="E440" s="434"/>
      <c r="F440" s="434"/>
      <c r="G440" s="434"/>
      <c r="H440" s="434"/>
      <c r="I440" s="434"/>
      <c r="J440" s="434"/>
      <c r="K440" s="434"/>
      <c r="L440" s="434"/>
      <c r="M440" s="434"/>
      <c r="N440" s="434"/>
      <c r="O440" s="434"/>
      <c r="P440" s="434"/>
      <c r="Q440" s="434"/>
      <c r="R440" s="434"/>
      <c r="S440" s="434"/>
      <c r="T440" s="434"/>
      <c r="U440" s="434"/>
    </row>
    <row r="441">
      <c r="A441" s="434"/>
      <c r="B441" s="434"/>
      <c r="C441" s="434"/>
      <c r="D441" s="434"/>
      <c r="E441" s="434"/>
      <c r="F441" s="434"/>
      <c r="G441" s="434"/>
      <c r="H441" s="434"/>
      <c r="I441" s="434"/>
      <c r="J441" s="434"/>
      <c r="K441" s="434"/>
      <c r="L441" s="434"/>
      <c r="M441" s="434"/>
      <c r="N441" s="434"/>
      <c r="O441" s="434"/>
      <c r="P441" s="434"/>
      <c r="Q441" s="434"/>
      <c r="R441" s="434"/>
      <c r="S441" s="434"/>
      <c r="T441" s="434"/>
      <c r="U441" s="434"/>
    </row>
    <row r="442">
      <c r="A442" s="434"/>
      <c r="B442" s="434"/>
      <c r="C442" s="434"/>
      <c r="D442" s="434"/>
      <c r="E442" s="434"/>
      <c r="F442" s="434"/>
      <c r="G442" s="434"/>
      <c r="H442" s="434"/>
      <c r="I442" s="434"/>
      <c r="J442" s="434"/>
      <c r="K442" s="434"/>
      <c r="L442" s="434"/>
      <c r="M442" s="434"/>
      <c r="N442" s="434"/>
      <c r="O442" s="434"/>
      <c r="P442" s="434"/>
      <c r="Q442" s="434"/>
      <c r="R442" s="434"/>
      <c r="S442" s="434"/>
      <c r="T442" s="434"/>
      <c r="U442" s="434"/>
    </row>
    <row r="443">
      <c r="A443" s="434"/>
      <c r="B443" s="434"/>
      <c r="C443" s="434"/>
      <c r="D443" s="434"/>
      <c r="E443" s="434"/>
      <c r="F443" s="434"/>
      <c r="G443" s="434"/>
      <c r="H443" s="434"/>
      <c r="I443" s="434"/>
      <c r="J443" s="434"/>
      <c r="K443" s="434"/>
      <c r="L443" s="434"/>
      <c r="M443" s="434"/>
      <c r="N443" s="434"/>
      <c r="O443" s="434"/>
      <c r="P443" s="434"/>
      <c r="Q443" s="434"/>
      <c r="R443" s="434"/>
      <c r="S443" s="434"/>
      <c r="T443" s="434"/>
      <c r="U443" s="434"/>
    </row>
    <row r="444">
      <c r="A444" s="434"/>
      <c r="B444" s="434"/>
      <c r="C444" s="434"/>
      <c r="D444" s="434"/>
      <c r="E444" s="434"/>
      <c r="F444" s="434"/>
      <c r="G444" s="434"/>
      <c r="H444" s="434"/>
      <c r="I444" s="434"/>
      <c r="J444" s="434"/>
      <c r="K444" s="434"/>
      <c r="L444" s="434"/>
      <c r="M444" s="434"/>
      <c r="N444" s="434"/>
      <c r="O444" s="434"/>
      <c r="P444" s="434"/>
      <c r="Q444" s="434"/>
      <c r="R444" s="434"/>
      <c r="S444" s="434"/>
      <c r="T444" s="434"/>
      <c r="U444" s="434"/>
    </row>
    <row r="445">
      <c r="A445" s="434"/>
      <c r="B445" s="434"/>
      <c r="C445" s="434"/>
      <c r="D445" s="434"/>
      <c r="E445" s="434"/>
      <c r="F445" s="434"/>
      <c r="G445" s="434"/>
      <c r="H445" s="434"/>
      <c r="I445" s="434"/>
      <c r="J445" s="434"/>
      <c r="K445" s="434"/>
      <c r="L445" s="434"/>
      <c r="M445" s="434"/>
      <c r="N445" s="434"/>
      <c r="O445" s="434"/>
      <c r="P445" s="434"/>
      <c r="Q445" s="434"/>
      <c r="R445" s="434"/>
      <c r="S445" s="434"/>
      <c r="T445" s="434"/>
      <c r="U445" s="434"/>
    </row>
    <row r="446">
      <c r="A446" s="434"/>
      <c r="B446" s="434"/>
      <c r="C446" s="434"/>
      <c r="D446" s="434"/>
      <c r="E446" s="434"/>
      <c r="F446" s="434"/>
      <c r="G446" s="434"/>
      <c r="H446" s="434"/>
      <c r="I446" s="434"/>
      <c r="J446" s="434"/>
      <c r="K446" s="434"/>
      <c r="L446" s="434"/>
      <c r="M446" s="434"/>
      <c r="N446" s="434"/>
      <c r="O446" s="434"/>
      <c r="P446" s="434"/>
      <c r="Q446" s="434"/>
      <c r="R446" s="434"/>
      <c r="S446" s="434"/>
      <c r="T446" s="434"/>
      <c r="U446" s="434"/>
    </row>
    <row r="447">
      <c r="A447" s="434"/>
      <c r="B447" s="434"/>
      <c r="C447" s="434"/>
      <c r="D447" s="434"/>
      <c r="E447" s="434"/>
      <c r="F447" s="434"/>
      <c r="G447" s="434"/>
      <c r="H447" s="434"/>
      <c r="I447" s="434"/>
      <c r="J447" s="434"/>
      <c r="K447" s="434"/>
      <c r="L447" s="434"/>
      <c r="M447" s="434"/>
      <c r="N447" s="434"/>
      <c r="O447" s="434"/>
      <c r="P447" s="434"/>
      <c r="Q447" s="434"/>
      <c r="R447" s="434"/>
      <c r="S447" s="434"/>
      <c r="T447" s="434"/>
      <c r="U447" s="434"/>
    </row>
    <row r="448">
      <c r="A448" s="434"/>
      <c r="B448" s="434"/>
      <c r="C448" s="434"/>
      <c r="D448" s="434"/>
      <c r="E448" s="434"/>
      <c r="F448" s="434"/>
      <c r="G448" s="434"/>
      <c r="H448" s="434"/>
      <c r="I448" s="434"/>
      <c r="J448" s="434"/>
      <c r="K448" s="434"/>
      <c r="L448" s="434"/>
      <c r="M448" s="434"/>
      <c r="N448" s="434"/>
      <c r="O448" s="434"/>
      <c r="P448" s="434"/>
      <c r="Q448" s="434"/>
      <c r="R448" s="434"/>
      <c r="S448" s="434"/>
      <c r="T448" s="434"/>
      <c r="U448" s="434"/>
    </row>
    <row r="449">
      <c r="A449" s="434"/>
      <c r="B449" s="434"/>
      <c r="C449" s="434"/>
      <c r="D449" s="434"/>
      <c r="E449" s="434"/>
      <c r="F449" s="434"/>
      <c r="G449" s="434"/>
      <c r="H449" s="434"/>
      <c r="I449" s="434"/>
      <c r="J449" s="434"/>
      <c r="K449" s="434"/>
      <c r="L449" s="434"/>
      <c r="M449" s="434"/>
      <c r="N449" s="434"/>
      <c r="O449" s="434"/>
      <c r="P449" s="434"/>
      <c r="Q449" s="434"/>
      <c r="R449" s="434"/>
      <c r="S449" s="434"/>
      <c r="T449" s="434"/>
      <c r="U449" s="434"/>
    </row>
    <row r="450">
      <c r="A450" s="434"/>
      <c r="B450" s="434"/>
      <c r="C450" s="434"/>
      <c r="D450" s="434"/>
      <c r="E450" s="434"/>
      <c r="F450" s="434"/>
      <c r="G450" s="434"/>
      <c r="H450" s="434"/>
      <c r="I450" s="434"/>
      <c r="J450" s="434"/>
      <c r="K450" s="434"/>
      <c r="L450" s="434"/>
      <c r="M450" s="434"/>
      <c r="N450" s="434"/>
      <c r="O450" s="434"/>
      <c r="P450" s="434"/>
      <c r="Q450" s="434"/>
      <c r="R450" s="434"/>
      <c r="S450" s="434"/>
      <c r="T450" s="434"/>
      <c r="U450" s="434"/>
    </row>
    <row r="451">
      <c r="A451" s="434"/>
      <c r="B451" s="434"/>
      <c r="C451" s="434"/>
      <c r="D451" s="434"/>
      <c r="E451" s="434"/>
      <c r="F451" s="434"/>
      <c r="G451" s="434"/>
      <c r="H451" s="434"/>
      <c r="I451" s="434"/>
      <c r="J451" s="434"/>
      <c r="K451" s="434"/>
      <c r="L451" s="434"/>
      <c r="M451" s="434"/>
      <c r="N451" s="434"/>
      <c r="O451" s="434"/>
      <c r="P451" s="434"/>
      <c r="Q451" s="434"/>
      <c r="R451" s="434"/>
      <c r="S451" s="434"/>
      <c r="T451" s="434"/>
      <c r="U451" s="434"/>
    </row>
    <row r="452">
      <c r="A452" s="434"/>
      <c r="B452" s="434"/>
      <c r="C452" s="434"/>
      <c r="D452" s="434"/>
      <c r="E452" s="434"/>
      <c r="F452" s="434"/>
      <c r="G452" s="434"/>
      <c r="H452" s="434"/>
      <c r="I452" s="434"/>
      <c r="J452" s="434"/>
      <c r="K452" s="434"/>
      <c r="L452" s="434"/>
      <c r="M452" s="434"/>
      <c r="N452" s="434"/>
      <c r="O452" s="434"/>
      <c r="P452" s="434"/>
      <c r="Q452" s="434"/>
      <c r="R452" s="434"/>
      <c r="S452" s="434"/>
      <c r="T452" s="434"/>
      <c r="U452" s="434"/>
    </row>
    <row r="453">
      <c r="A453" s="434"/>
      <c r="B453" s="434"/>
      <c r="C453" s="434"/>
      <c r="D453" s="434"/>
      <c r="E453" s="434"/>
      <c r="F453" s="434"/>
      <c r="G453" s="434"/>
      <c r="H453" s="434"/>
      <c r="I453" s="434"/>
      <c r="J453" s="434"/>
      <c r="K453" s="434"/>
      <c r="L453" s="434"/>
      <c r="M453" s="434"/>
      <c r="N453" s="434"/>
      <c r="O453" s="434"/>
      <c r="P453" s="434"/>
      <c r="Q453" s="434"/>
      <c r="R453" s="434"/>
      <c r="S453" s="434"/>
      <c r="T453" s="434"/>
      <c r="U453" s="434"/>
    </row>
    <row r="454">
      <c r="A454" s="434"/>
      <c r="B454" s="434"/>
      <c r="C454" s="434"/>
      <c r="D454" s="434"/>
      <c r="E454" s="434"/>
      <c r="F454" s="434"/>
      <c r="G454" s="434"/>
      <c r="H454" s="434"/>
      <c r="I454" s="434"/>
      <c r="J454" s="434"/>
      <c r="K454" s="434"/>
      <c r="L454" s="434"/>
      <c r="M454" s="434"/>
      <c r="N454" s="434"/>
      <c r="O454" s="434"/>
      <c r="P454" s="434"/>
      <c r="Q454" s="434"/>
      <c r="R454" s="434"/>
      <c r="S454" s="434"/>
      <c r="T454" s="434"/>
      <c r="U454" s="434"/>
    </row>
    <row r="455">
      <c r="A455" s="434"/>
      <c r="B455" s="434"/>
      <c r="C455" s="434"/>
      <c r="D455" s="434"/>
      <c r="E455" s="434"/>
      <c r="F455" s="434"/>
      <c r="G455" s="434"/>
      <c r="H455" s="434"/>
      <c r="I455" s="434"/>
      <c r="J455" s="434"/>
      <c r="K455" s="434"/>
      <c r="L455" s="434"/>
      <c r="M455" s="434"/>
      <c r="N455" s="434"/>
      <c r="O455" s="434"/>
      <c r="P455" s="434"/>
      <c r="Q455" s="434"/>
      <c r="R455" s="434"/>
      <c r="S455" s="434"/>
      <c r="T455" s="434"/>
      <c r="U455" s="434"/>
    </row>
    <row r="456">
      <c r="A456" s="434"/>
      <c r="B456" s="434"/>
      <c r="C456" s="434"/>
      <c r="D456" s="434"/>
      <c r="E456" s="434"/>
      <c r="F456" s="434"/>
      <c r="G456" s="434"/>
      <c r="H456" s="434"/>
      <c r="I456" s="434"/>
      <c r="J456" s="434"/>
      <c r="K456" s="434"/>
      <c r="L456" s="434"/>
      <c r="M456" s="434"/>
      <c r="N456" s="434"/>
      <c r="O456" s="434"/>
      <c r="P456" s="434"/>
      <c r="Q456" s="434"/>
      <c r="R456" s="434"/>
      <c r="S456" s="434"/>
      <c r="T456" s="434"/>
      <c r="U456" s="434"/>
    </row>
    <row r="457">
      <c r="A457" s="434"/>
      <c r="B457" s="434"/>
      <c r="C457" s="434"/>
      <c r="D457" s="434"/>
      <c r="E457" s="434"/>
      <c r="F457" s="434"/>
      <c r="G457" s="434"/>
      <c r="H457" s="434"/>
      <c r="I457" s="434"/>
      <c r="J457" s="434"/>
      <c r="K457" s="434"/>
      <c r="L457" s="434"/>
      <c r="M457" s="434"/>
      <c r="N457" s="434"/>
      <c r="O457" s="434"/>
      <c r="P457" s="434"/>
      <c r="Q457" s="434"/>
      <c r="R457" s="434"/>
      <c r="S457" s="434"/>
      <c r="T457" s="434"/>
      <c r="U457" s="434"/>
    </row>
    <row r="458">
      <c r="A458" s="434"/>
      <c r="B458" s="434"/>
      <c r="C458" s="434"/>
      <c r="D458" s="434"/>
      <c r="E458" s="434"/>
      <c r="F458" s="434"/>
      <c r="G458" s="434"/>
      <c r="H458" s="434"/>
      <c r="I458" s="434"/>
      <c r="J458" s="434"/>
      <c r="K458" s="434"/>
      <c r="L458" s="434"/>
      <c r="M458" s="434"/>
      <c r="N458" s="434"/>
      <c r="O458" s="434"/>
      <c r="P458" s="434"/>
      <c r="Q458" s="434"/>
      <c r="R458" s="434"/>
      <c r="S458" s="434"/>
      <c r="T458" s="434"/>
      <c r="U458" s="434"/>
    </row>
    <row r="459">
      <c r="A459" s="434"/>
      <c r="B459" s="434"/>
      <c r="C459" s="434"/>
      <c r="D459" s="434"/>
      <c r="E459" s="434"/>
      <c r="F459" s="434"/>
      <c r="G459" s="434"/>
      <c r="H459" s="434"/>
      <c r="I459" s="434"/>
      <c r="J459" s="434"/>
      <c r="K459" s="434"/>
      <c r="L459" s="434"/>
      <c r="M459" s="434"/>
      <c r="N459" s="434"/>
      <c r="O459" s="434"/>
      <c r="P459" s="434"/>
      <c r="Q459" s="434"/>
      <c r="R459" s="434"/>
      <c r="S459" s="434"/>
      <c r="T459" s="434"/>
      <c r="U459" s="434"/>
    </row>
    <row r="460">
      <c r="A460" s="434"/>
      <c r="B460" s="434"/>
      <c r="C460" s="434"/>
      <c r="D460" s="434"/>
      <c r="E460" s="434"/>
      <c r="F460" s="434"/>
      <c r="G460" s="434"/>
      <c r="H460" s="434"/>
      <c r="I460" s="434"/>
      <c r="J460" s="434"/>
      <c r="K460" s="434"/>
      <c r="L460" s="434"/>
      <c r="M460" s="434"/>
      <c r="N460" s="434"/>
      <c r="O460" s="434"/>
      <c r="P460" s="434"/>
      <c r="Q460" s="434"/>
      <c r="R460" s="434"/>
      <c r="S460" s="434"/>
      <c r="T460" s="434"/>
      <c r="U460" s="434"/>
    </row>
    <row r="461">
      <c r="A461" s="434"/>
      <c r="B461" s="434"/>
      <c r="C461" s="434"/>
      <c r="D461" s="434"/>
      <c r="E461" s="434"/>
      <c r="F461" s="434"/>
      <c r="G461" s="434"/>
      <c r="H461" s="434"/>
      <c r="I461" s="434"/>
      <c r="J461" s="434"/>
      <c r="K461" s="434"/>
      <c r="L461" s="434"/>
      <c r="M461" s="434"/>
      <c r="N461" s="434"/>
      <c r="O461" s="434"/>
      <c r="P461" s="434"/>
      <c r="Q461" s="434"/>
      <c r="R461" s="434"/>
      <c r="S461" s="434"/>
      <c r="T461" s="434"/>
      <c r="U461" s="434"/>
    </row>
    <row r="462">
      <c r="A462" s="434"/>
      <c r="B462" s="434"/>
      <c r="C462" s="434"/>
      <c r="D462" s="434"/>
      <c r="E462" s="434"/>
      <c r="F462" s="434"/>
      <c r="G462" s="434"/>
      <c r="H462" s="434"/>
      <c r="I462" s="434"/>
      <c r="J462" s="434"/>
      <c r="K462" s="434"/>
      <c r="L462" s="434"/>
      <c r="M462" s="434"/>
      <c r="N462" s="434"/>
      <c r="O462" s="434"/>
      <c r="P462" s="434"/>
      <c r="Q462" s="434"/>
      <c r="R462" s="434"/>
      <c r="S462" s="434"/>
      <c r="T462" s="434"/>
      <c r="U462" s="434"/>
    </row>
    <row r="463">
      <c r="A463" s="434"/>
      <c r="B463" s="434"/>
      <c r="C463" s="434"/>
      <c r="D463" s="434"/>
      <c r="E463" s="434"/>
      <c r="F463" s="434"/>
      <c r="G463" s="434"/>
      <c r="H463" s="434"/>
      <c r="I463" s="434"/>
      <c r="J463" s="434"/>
      <c r="K463" s="434"/>
      <c r="L463" s="434"/>
      <c r="M463" s="434"/>
      <c r="N463" s="434"/>
      <c r="O463" s="434"/>
      <c r="P463" s="434"/>
      <c r="Q463" s="434"/>
      <c r="R463" s="434"/>
      <c r="S463" s="434"/>
      <c r="T463" s="434"/>
      <c r="U463" s="434"/>
    </row>
    <row r="464">
      <c r="A464" s="434"/>
      <c r="B464" s="434"/>
      <c r="C464" s="434"/>
      <c r="D464" s="434"/>
      <c r="E464" s="434"/>
      <c r="F464" s="434"/>
      <c r="G464" s="434"/>
      <c r="H464" s="434"/>
      <c r="I464" s="434"/>
      <c r="J464" s="434"/>
      <c r="K464" s="434"/>
      <c r="L464" s="434"/>
      <c r="M464" s="434"/>
      <c r="N464" s="434"/>
      <c r="O464" s="434"/>
      <c r="P464" s="434"/>
      <c r="Q464" s="434"/>
      <c r="R464" s="434"/>
      <c r="S464" s="434"/>
      <c r="T464" s="434"/>
      <c r="U464" s="434"/>
    </row>
    <row r="465">
      <c r="A465" s="434"/>
      <c r="B465" s="434"/>
      <c r="C465" s="434"/>
      <c r="D465" s="434"/>
      <c r="E465" s="434"/>
      <c r="F465" s="434"/>
      <c r="G465" s="434"/>
      <c r="H465" s="434"/>
      <c r="I465" s="434"/>
      <c r="J465" s="434"/>
      <c r="K465" s="434"/>
      <c r="L465" s="434"/>
      <c r="M465" s="434"/>
      <c r="N465" s="434"/>
      <c r="O465" s="434"/>
      <c r="P465" s="434"/>
      <c r="Q465" s="434"/>
      <c r="R465" s="434"/>
      <c r="S465" s="434"/>
      <c r="T465" s="434"/>
      <c r="U465" s="434"/>
    </row>
    <row r="466">
      <c r="A466" s="434"/>
      <c r="B466" s="434"/>
      <c r="C466" s="434"/>
      <c r="D466" s="434"/>
      <c r="E466" s="434"/>
      <c r="F466" s="434"/>
      <c r="G466" s="434"/>
      <c r="H466" s="434"/>
      <c r="I466" s="434"/>
      <c r="J466" s="434"/>
      <c r="K466" s="434"/>
      <c r="L466" s="434"/>
      <c r="M466" s="434"/>
      <c r="N466" s="434"/>
      <c r="O466" s="434"/>
      <c r="P466" s="434"/>
      <c r="Q466" s="434"/>
      <c r="R466" s="434"/>
      <c r="S466" s="434"/>
      <c r="T466" s="434"/>
      <c r="U466" s="434"/>
    </row>
    <row r="467">
      <c r="A467" s="434"/>
      <c r="B467" s="434"/>
      <c r="C467" s="434"/>
      <c r="D467" s="434"/>
      <c r="E467" s="434"/>
      <c r="F467" s="434"/>
      <c r="G467" s="434"/>
      <c r="H467" s="434"/>
      <c r="I467" s="434"/>
      <c r="J467" s="434"/>
      <c r="K467" s="434"/>
      <c r="L467" s="434"/>
      <c r="M467" s="434"/>
      <c r="N467" s="434"/>
      <c r="O467" s="434"/>
      <c r="P467" s="434"/>
      <c r="Q467" s="434"/>
      <c r="R467" s="434"/>
      <c r="S467" s="434"/>
      <c r="T467" s="434"/>
      <c r="U467" s="434"/>
    </row>
    <row r="468">
      <c r="A468" s="434"/>
      <c r="B468" s="434"/>
      <c r="C468" s="434"/>
      <c r="D468" s="434"/>
      <c r="E468" s="434"/>
      <c r="F468" s="434"/>
      <c r="G468" s="434"/>
      <c r="H468" s="434"/>
      <c r="I468" s="434"/>
      <c r="J468" s="434"/>
      <c r="K468" s="434"/>
      <c r="L468" s="434"/>
      <c r="M468" s="434"/>
      <c r="N468" s="434"/>
      <c r="O468" s="434"/>
      <c r="P468" s="434"/>
      <c r="Q468" s="434"/>
      <c r="R468" s="434"/>
      <c r="S468" s="434"/>
      <c r="T468" s="434"/>
      <c r="U468" s="434"/>
    </row>
    <row r="469">
      <c r="A469" s="434"/>
      <c r="B469" s="434"/>
      <c r="C469" s="434"/>
      <c r="D469" s="434"/>
      <c r="E469" s="434"/>
      <c r="F469" s="434"/>
      <c r="G469" s="434"/>
      <c r="H469" s="434"/>
      <c r="I469" s="434"/>
      <c r="J469" s="434"/>
      <c r="K469" s="434"/>
      <c r="L469" s="434"/>
      <c r="M469" s="434"/>
      <c r="N469" s="434"/>
      <c r="O469" s="434"/>
      <c r="P469" s="434"/>
      <c r="Q469" s="434"/>
      <c r="R469" s="434"/>
      <c r="S469" s="434"/>
      <c r="T469" s="434"/>
      <c r="U469" s="434"/>
    </row>
    <row r="470">
      <c r="A470" s="434"/>
      <c r="B470" s="434"/>
      <c r="C470" s="434"/>
      <c r="D470" s="434"/>
      <c r="E470" s="434"/>
      <c r="F470" s="434"/>
      <c r="G470" s="434"/>
      <c r="H470" s="434"/>
      <c r="I470" s="434"/>
      <c r="J470" s="434"/>
      <c r="K470" s="434"/>
      <c r="L470" s="434"/>
      <c r="M470" s="434"/>
      <c r="N470" s="434"/>
      <c r="O470" s="434"/>
      <c r="P470" s="434"/>
      <c r="Q470" s="434"/>
      <c r="R470" s="434"/>
      <c r="S470" s="434"/>
      <c r="T470" s="434"/>
      <c r="U470" s="434"/>
    </row>
    <row r="471">
      <c r="A471" s="434"/>
      <c r="B471" s="434"/>
      <c r="C471" s="434"/>
      <c r="D471" s="434"/>
      <c r="E471" s="434"/>
      <c r="F471" s="434"/>
      <c r="G471" s="434"/>
      <c r="H471" s="434"/>
      <c r="I471" s="434"/>
      <c r="J471" s="434"/>
      <c r="K471" s="434"/>
      <c r="L471" s="434"/>
      <c r="M471" s="434"/>
      <c r="N471" s="434"/>
      <c r="O471" s="434"/>
      <c r="P471" s="434"/>
      <c r="Q471" s="434"/>
      <c r="R471" s="434"/>
      <c r="S471" s="434"/>
      <c r="T471" s="434"/>
      <c r="U471" s="434"/>
    </row>
    <row r="472">
      <c r="A472" s="434"/>
      <c r="B472" s="434"/>
      <c r="C472" s="434"/>
      <c r="D472" s="434"/>
      <c r="E472" s="434"/>
      <c r="F472" s="434"/>
      <c r="G472" s="434"/>
      <c r="H472" s="434"/>
      <c r="I472" s="434"/>
      <c r="J472" s="434"/>
      <c r="K472" s="434"/>
      <c r="L472" s="434"/>
      <c r="M472" s="434"/>
      <c r="N472" s="434"/>
      <c r="O472" s="434"/>
      <c r="P472" s="434"/>
      <c r="Q472" s="434"/>
      <c r="R472" s="434"/>
      <c r="S472" s="434"/>
      <c r="T472" s="434"/>
      <c r="U472" s="434"/>
    </row>
    <row r="473">
      <c r="A473" s="434"/>
      <c r="B473" s="434"/>
      <c r="C473" s="434"/>
      <c r="D473" s="434"/>
      <c r="E473" s="434"/>
      <c r="F473" s="434"/>
      <c r="G473" s="434"/>
      <c r="H473" s="434"/>
      <c r="I473" s="434"/>
      <c r="J473" s="434"/>
      <c r="K473" s="434"/>
      <c r="L473" s="434"/>
      <c r="M473" s="434"/>
      <c r="N473" s="434"/>
      <c r="O473" s="434"/>
      <c r="P473" s="434"/>
      <c r="Q473" s="434"/>
      <c r="R473" s="434"/>
      <c r="S473" s="434"/>
      <c r="T473" s="434"/>
      <c r="U473" s="434"/>
    </row>
    <row r="474">
      <c r="A474" s="434"/>
      <c r="B474" s="434"/>
      <c r="C474" s="434"/>
      <c r="D474" s="434"/>
      <c r="E474" s="434"/>
      <c r="F474" s="434"/>
      <c r="G474" s="434"/>
      <c r="H474" s="434"/>
      <c r="I474" s="434"/>
      <c r="J474" s="434"/>
      <c r="K474" s="434"/>
      <c r="L474" s="434"/>
      <c r="M474" s="434"/>
      <c r="N474" s="434"/>
      <c r="O474" s="434"/>
      <c r="P474" s="434"/>
      <c r="Q474" s="434"/>
      <c r="R474" s="434"/>
      <c r="S474" s="434"/>
      <c r="T474" s="434"/>
      <c r="U474" s="434"/>
    </row>
    <row r="475">
      <c r="A475" s="434"/>
      <c r="B475" s="434"/>
      <c r="C475" s="434"/>
      <c r="D475" s="434"/>
      <c r="E475" s="434"/>
      <c r="F475" s="434"/>
      <c r="G475" s="434"/>
      <c r="H475" s="434"/>
      <c r="I475" s="434"/>
      <c r="J475" s="434"/>
      <c r="K475" s="434"/>
      <c r="L475" s="434"/>
      <c r="M475" s="434"/>
      <c r="N475" s="434"/>
      <c r="O475" s="434"/>
      <c r="P475" s="434"/>
      <c r="Q475" s="434"/>
      <c r="R475" s="434"/>
      <c r="S475" s="434"/>
      <c r="T475" s="434"/>
      <c r="U475" s="434"/>
    </row>
    <row r="476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</row>
    <row r="477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</row>
    <row r="478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</row>
    <row r="479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</row>
    <row r="480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</row>
    <row r="48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</row>
    <row r="482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</row>
    <row r="483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</row>
    <row r="484">
      <c r="A484" s="434"/>
      <c r="B484" s="434"/>
      <c r="C484" s="434"/>
      <c r="D484" s="434"/>
      <c r="E484" s="434"/>
      <c r="F484" s="434"/>
      <c r="G484" s="434"/>
      <c r="H484" s="434"/>
      <c r="I484" s="434"/>
      <c r="J484" s="434"/>
      <c r="K484" s="434"/>
      <c r="L484" s="434"/>
      <c r="M484" s="434"/>
      <c r="N484" s="434"/>
      <c r="O484" s="434"/>
      <c r="P484" s="434"/>
      <c r="Q484" s="434"/>
      <c r="R484" s="434"/>
      <c r="S484" s="434"/>
      <c r="T484" s="434"/>
      <c r="U484" s="434"/>
    </row>
    <row r="485">
      <c r="A485" s="434"/>
      <c r="B485" s="434"/>
      <c r="C485" s="434"/>
      <c r="D485" s="434"/>
      <c r="E485" s="434"/>
      <c r="F485" s="434"/>
      <c r="G485" s="434"/>
      <c r="H485" s="434"/>
      <c r="I485" s="434"/>
      <c r="J485" s="434"/>
      <c r="K485" s="434"/>
      <c r="L485" s="434"/>
      <c r="M485" s="434"/>
      <c r="N485" s="434"/>
      <c r="O485" s="434"/>
      <c r="P485" s="434"/>
      <c r="Q485" s="434"/>
      <c r="R485" s="434"/>
      <c r="S485" s="434"/>
      <c r="T485" s="434"/>
      <c r="U485" s="434"/>
    </row>
    <row r="486">
      <c r="A486" s="434"/>
      <c r="B486" s="434"/>
      <c r="C486" s="434"/>
      <c r="D486" s="434"/>
      <c r="E486" s="434"/>
      <c r="F486" s="434"/>
      <c r="G486" s="434"/>
      <c r="H486" s="434"/>
      <c r="I486" s="434"/>
      <c r="J486" s="434"/>
      <c r="K486" s="434"/>
      <c r="L486" s="434"/>
      <c r="M486" s="434"/>
      <c r="N486" s="434"/>
      <c r="O486" s="434"/>
      <c r="P486" s="434"/>
      <c r="Q486" s="434"/>
      <c r="R486" s="434"/>
      <c r="S486" s="434"/>
      <c r="T486" s="434"/>
      <c r="U486" s="434"/>
    </row>
    <row r="487">
      <c r="A487" s="434"/>
      <c r="B487" s="434"/>
      <c r="C487" s="434"/>
      <c r="D487" s="434"/>
      <c r="E487" s="434"/>
      <c r="F487" s="434"/>
      <c r="G487" s="434"/>
      <c r="H487" s="434"/>
      <c r="I487" s="434"/>
      <c r="J487" s="434"/>
      <c r="K487" s="434"/>
      <c r="L487" s="434"/>
      <c r="M487" s="434"/>
      <c r="N487" s="434"/>
      <c r="O487" s="434"/>
      <c r="P487" s="434"/>
      <c r="Q487" s="434"/>
      <c r="R487" s="434"/>
      <c r="S487" s="434"/>
      <c r="T487" s="434"/>
      <c r="U487" s="434"/>
    </row>
    <row r="488">
      <c r="A488" s="434"/>
      <c r="B488" s="434"/>
      <c r="C488" s="434"/>
      <c r="D488" s="434"/>
      <c r="E488" s="434"/>
      <c r="F488" s="434"/>
      <c r="G488" s="434"/>
      <c r="H488" s="434"/>
      <c r="I488" s="434"/>
      <c r="J488" s="434"/>
      <c r="K488" s="434"/>
      <c r="L488" s="434"/>
      <c r="M488" s="434"/>
      <c r="N488" s="434"/>
      <c r="O488" s="434"/>
      <c r="P488" s="434"/>
      <c r="Q488" s="434"/>
      <c r="R488" s="434"/>
      <c r="S488" s="434"/>
      <c r="T488" s="434"/>
      <c r="U488" s="434"/>
    </row>
    <row r="489">
      <c r="A489" s="434"/>
      <c r="B489" s="434"/>
      <c r="C489" s="434"/>
      <c r="D489" s="434"/>
      <c r="E489" s="434"/>
      <c r="F489" s="434"/>
      <c r="G489" s="434"/>
      <c r="H489" s="434"/>
      <c r="I489" s="434"/>
      <c r="J489" s="434"/>
      <c r="K489" s="434"/>
      <c r="L489" s="434"/>
      <c r="M489" s="434"/>
      <c r="N489" s="434"/>
      <c r="O489" s="434"/>
      <c r="P489" s="434"/>
      <c r="Q489" s="434"/>
      <c r="R489" s="434"/>
      <c r="S489" s="434"/>
      <c r="T489" s="434"/>
      <c r="U489" s="434"/>
    </row>
    <row r="490">
      <c r="A490" s="434"/>
      <c r="B490" s="434"/>
      <c r="C490" s="434"/>
      <c r="D490" s="434"/>
      <c r="E490" s="434"/>
      <c r="F490" s="434"/>
      <c r="G490" s="434"/>
      <c r="H490" s="434"/>
      <c r="I490" s="434"/>
      <c r="J490" s="434"/>
      <c r="K490" s="434"/>
      <c r="L490" s="434"/>
      <c r="M490" s="434"/>
      <c r="N490" s="434"/>
      <c r="O490" s="434"/>
      <c r="P490" s="434"/>
      <c r="Q490" s="434"/>
      <c r="R490" s="434"/>
      <c r="S490" s="434"/>
      <c r="T490" s="434"/>
      <c r="U490" s="434"/>
    </row>
    <row r="491">
      <c r="A491" s="434"/>
      <c r="B491" s="434"/>
      <c r="C491" s="434"/>
      <c r="D491" s="434"/>
      <c r="E491" s="434"/>
      <c r="F491" s="434"/>
      <c r="G491" s="434"/>
      <c r="H491" s="434"/>
      <c r="I491" s="434"/>
      <c r="J491" s="434"/>
      <c r="K491" s="434"/>
      <c r="L491" s="434"/>
      <c r="M491" s="434"/>
      <c r="N491" s="434"/>
      <c r="O491" s="434"/>
      <c r="P491" s="434"/>
      <c r="Q491" s="434"/>
      <c r="R491" s="434"/>
      <c r="S491" s="434"/>
      <c r="T491" s="434"/>
      <c r="U491" s="434"/>
    </row>
    <row r="492">
      <c r="A492" s="434"/>
      <c r="B492" s="434"/>
      <c r="C492" s="434"/>
      <c r="D492" s="434"/>
      <c r="E492" s="434"/>
      <c r="F492" s="434"/>
      <c r="G492" s="434"/>
      <c r="H492" s="434"/>
      <c r="I492" s="434"/>
      <c r="J492" s="434"/>
      <c r="K492" s="434"/>
      <c r="L492" s="434"/>
      <c r="M492" s="434"/>
      <c r="N492" s="434"/>
      <c r="O492" s="434"/>
      <c r="P492" s="434"/>
      <c r="Q492" s="434"/>
      <c r="R492" s="434"/>
      <c r="S492" s="434"/>
      <c r="T492" s="434"/>
      <c r="U492" s="434"/>
    </row>
    <row r="493">
      <c r="A493" s="434"/>
      <c r="B493" s="434"/>
      <c r="C493" s="434"/>
      <c r="D493" s="434"/>
      <c r="E493" s="434"/>
      <c r="F493" s="434"/>
      <c r="G493" s="434"/>
      <c r="H493" s="434"/>
      <c r="I493" s="434"/>
      <c r="J493" s="434"/>
      <c r="K493" s="434"/>
      <c r="L493" s="434"/>
      <c r="M493" s="434"/>
      <c r="N493" s="434"/>
      <c r="O493" s="434"/>
      <c r="P493" s="434"/>
      <c r="Q493" s="434"/>
      <c r="R493" s="434"/>
      <c r="S493" s="434"/>
      <c r="T493" s="434"/>
      <c r="U493" s="434"/>
    </row>
    <row r="494">
      <c r="A494" s="434"/>
      <c r="B494" s="434"/>
      <c r="C494" s="434"/>
      <c r="D494" s="434"/>
      <c r="E494" s="434"/>
      <c r="F494" s="434"/>
      <c r="G494" s="434"/>
      <c r="H494" s="434"/>
      <c r="I494" s="434"/>
      <c r="J494" s="434"/>
      <c r="K494" s="434"/>
      <c r="L494" s="434"/>
      <c r="M494" s="434"/>
      <c r="N494" s="434"/>
      <c r="O494" s="434"/>
      <c r="P494" s="434"/>
      <c r="Q494" s="434"/>
      <c r="R494" s="434"/>
      <c r="S494" s="434"/>
      <c r="T494" s="434"/>
      <c r="U494" s="434"/>
    </row>
    <row r="495">
      <c r="A495" s="434"/>
      <c r="B495" s="434"/>
      <c r="C495" s="434"/>
      <c r="D495" s="434"/>
      <c r="E495" s="434"/>
      <c r="F495" s="434"/>
      <c r="G495" s="434"/>
      <c r="H495" s="434"/>
      <c r="I495" s="434"/>
      <c r="J495" s="434"/>
      <c r="K495" s="434"/>
      <c r="L495" s="434"/>
      <c r="M495" s="434"/>
      <c r="N495" s="434"/>
      <c r="O495" s="434"/>
      <c r="P495" s="434"/>
      <c r="Q495" s="434"/>
      <c r="R495" s="434"/>
      <c r="S495" s="434"/>
      <c r="T495" s="434"/>
      <c r="U495" s="434"/>
    </row>
    <row r="496">
      <c r="A496" s="434"/>
      <c r="B496" s="434"/>
      <c r="C496" s="434"/>
      <c r="D496" s="434"/>
      <c r="E496" s="434"/>
      <c r="F496" s="434"/>
      <c r="G496" s="434"/>
      <c r="H496" s="434"/>
      <c r="I496" s="434"/>
      <c r="J496" s="434"/>
      <c r="K496" s="434"/>
      <c r="L496" s="434"/>
      <c r="M496" s="434"/>
      <c r="N496" s="434"/>
      <c r="O496" s="434"/>
      <c r="P496" s="434"/>
      <c r="Q496" s="434"/>
      <c r="R496" s="434"/>
      <c r="S496" s="434"/>
      <c r="T496" s="434"/>
      <c r="U496" s="434"/>
    </row>
    <row r="497">
      <c r="A497" s="434"/>
      <c r="B497" s="434"/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</row>
    <row r="498">
      <c r="A498" s="434"/>
      <c r="B498" s="434"/>
      <c r="C498" s="434"/>
      <c r="D498" s="434"/>
      <c r="E498" s="434"/>
      <c r="F498" s="434"/>
      <c r="G498" s="434"/>
      <c r="H498" s="434"/>
      <c r="I498" s="434"/>
      <c r="J498" s="434"/>
      <c r="K498" s="434"/>
      <c r="L498" s="434"/>
      <c r="M498" s="434"/>
      <c r="N498" s="434"/>
      <c r="O498" s="434"/>
      <c r="P498" s="434"/>
      <c r="Q498" s="434"/>
      <c r="R498" s="434"/>
      <c r="S498" s="434"/>
      <c r="T498" s="434"/>
      <c r="U498" s="434"/>
    </row>
    <row r="499">
      <c r="A499" s="434"/>
      <c r="B499" s="434"/>
      <c r="C499" s="434"/>
      <c r="D499" s="434"/>
      <c r="E499" s="434"/>
      <c r="F499" s="434"/>
      <c r="G499" s="434"/>
      <c r="H499" s="434"/>
      <c r="I499" s="434"/>
      <c r="J499" s="434"/>
      <c r="K499" s="434"/>
      <c r="L499" s="434"/>
      <c r="M499" s="434"/>
      <c r="N499" s="434"/>
      <c r="O499" s="434"/>
      <c r="P499" s="434"/>
      <c r="Q499" s="434"/>
      <c r="R499" s="434"/>
      <c r="S499" s="434"/>
      <c r="T499" s="434"/>
      <c r="U499" s="434"/>
    </row>
    <row r="500">
      <c r="A500" s="434"/>
      <c r="B500" s="434"/>
      <c r="C500" s="434"/>
      <c r="D500" s="434"/>
      <c r="E500" s="434"/>
      <c r="F500" s="434"/>
      <c r="G500" s="434"/>
      <c r="H500" s="434"/>
      <c r="I500" s="434"/>
      <c r="J500" s="434"/>
      <c r="K500" s="434"/>
      <c r="L500" s="434"/>
      <c r="M500" s="434"/>
      <c r="N500" s="434"/>
      <c r="O500" s="434"/>
      <c r="P500" s="434"/>
      <c r="Q500" s="434"/>
      <c r="R500" s="434"/>
      <c r="S500" s="434"/>
      <c r="T500" s="434"/>
      <c r="U500" s="434"/>
    </row>
    <row r="501">
      <c r="A501" s="434"/>
      <c r="B501" s="434"/>
      <c r="C501" s="434"/>
      <c r="D501" s="434"/>
      <c r="E501" s="434"/>
      <c r="F501" s="434"/>
      <c r="G501" s="434"/>
      <c r="H501" s="434"/>
      <c r="I501" s="434"/>
      <c r="J501" s="434"/>
      <c r="K501" s="434"/>
      <c r="L501" s="434"/>
      <c r="M501" s="434"/>
      <c r="N501" s="434"/>
      <c r="O501" s="434"/>
      <c r="P501" s="434"/>
      <c r="Q501" s="434"/>
      <c r="R501" s="434"/>
      <c r="S501" s="434"/>
      <c r="T501" s="434"/>
      <c r="U501" s="434"/>
    </row>
    <row r="502">
      <c r="A502" s="434"/>
      <c r="B502" s="434"/>
      <c r="C502" s="434"/>
      <c r="D502" s="434"/>
      <c r="E502" s="434"/>
      <c r="F502" s="434"/>
      <c r="G502" s="434"/>
      <c r="H502" s="434"/>
      <c r="I502" s="434"/>
      <c r="J502" s="434"/>
      <c r="K502" s="434"/>
      <c r="L502" s="434"/>
      <c r="M502" s="434"/>
      <c r="N502" s="434"/>
      <c r="O502" s="434"/>
      <c r="P502" s="434"/>
      <c r="Q502" s="434"/>
      <c r="R502" s="434"/>
      <c r="S502" s="434"/>
      <c r="T502" s="434"/>
      <c r="U502" s="434"/>
    </row>
    <row r="503">
      <c r="A503" s="434"/>
      <c r="B503" s="434"/>
      <c r="C503" s="434"/>
      <c r="D503" s="434"/>
      <c r="E503" s="434"/>
      <c r="F503" s="434"/>
      <c r="G503" s="434"/>
      <c r="H503" s="434"/>
      <c r="I503" s="434"/>
      <c r="J503" s="434"/>
      <c r="K503" s="434"/>
      <c r="L503" s="434"/>
      <c r="M503" s="434"/>
      <c r="N503" s="434"/>
      <c r="O503" s="434"/>
      <c r="P503" s="434"/>
      <c r="Q503" s="434"/>
      <c r="R503" s="434"/>
      <c r="S503" s="434"/>
      <c r="T503" s="434"/>
      <c r="U503" s="434"/>
    </row>
    <row r="504">
      <c r="A504" s="434"/>
      <c r="B504" s="434"/>
      <c r="C504" s="434"/>
      <c r="D504" s="434"/>
      <c r="E504" s="434"/>
      <c r="F504" s="434"/>
      <c r="G504" s="434"/>
      <c r="H504" s="434"/>
      <c r="I504" s="434"/>
      <c r="J504" s="434"/>
      <c r="K504" s="434"/>
      <c r="L504" s="434"/>
      <c r="M504" s="434"/>
      <c r="N504" s="434"/>
      <c r="O504" s="434"/>
      <c r="P504" s="434"/>
      <c r="Q504" s="434"/>
      <c r="R504" s="434"/>
      <c r="S504" s="434"/>
      <c r="T504" s="434"/>
      <c r="U504" s="434"/>
    </row>
    <row r="505">
      <c r="A505" s="434"/>
      <c r="B505" s="434"/>
      <c r="C505" s="434"/>
      <c r="D505" s="434"/>
      <c r="E505" s="434"/>
      <c r="F505" s="434"/>
      <c r="G505" s="434"/>
      <c r="H505" s="434"/>
      <c r="I505" s="434"/>
      <c r="J505" s="434"/>
      <c r="K505" s="434"/>
      <c r="L505" s="434"/>
      <c r="M505" s="434"/>
      <c r="N505" s="434"/>
      <c r="O505" s="434"/>
      <c r="P505" s="434"/>
      <c r="Q505" s="434"/>
      <c r="R505" s="434"/>
      <c r="S505" s="434"/>
      <c r="T505" s="434"/>
      <c r="U505" s="434"/>
    </row>
    <row r="506">
      <c r="A506" s="434"/>
      <c r="B506" s="434"/>
      <c r="C506" s="434"/>
      <c r="D506" s="434"/>
      <c r="E506" s="434"/>
      <c r="F506" s="434"/>
      <c r="G506" s="434"/>
      <c r="H506" s="434"/>
      <c r="I506" s="434"/>
      <c r="J506" s="434"/>
      <c r="K506" s="434"/>
      <c r="L506" s="434"/>
      <c r="M506" s="434"/>
      <c r="N506" s="434"/>
      <c r="O506" s="434"/>
      <c r="P506" s="434"/>
      <c r="Q506" s="434"/>
      <c r="R506" s="434"/>
      <c r="S506" s="434"/>
      <c r="T506" s="434"/>
      <c r="U506" s="434"/>
    </row>
    <row r="507">
      <c r="A507" s="434"/>
      <c r="B507" s="434"/>
      <c r="C507" s="434"/>
      <c r="D507" s="434"/>
      <c r="E507" s="434"/>
      <c r="F507" s="434"/>
      <c r="G507" s="434"/>
      <c r="H507" s="434"/>
      <c r="I507" s="434"/>
      <c r="J507" s="434"/>
      <c r="K507" s="434"/>
      <c r="L507" s="434"/>
      <c r="M507" s="434"/>
      <c r="N507" s="434"/>
      <c r="O507" s="434"/>
      <c r="P507" s="434"/>
      <c r="Q507" s="434"/>
      <c r="R507" s="434"/>
      <c r="S507" s="434"/>
      <c r="T507" s="434"/>
      <c r="U507" s="434"/>
    </row>
    <row r="508">
      <c r="A508" s="434"/>
      <c r="B508" s="434"/>
      <c r="C508" s="434"/>
      <c r="D508" s="434"/>
      <c r="E508" s="434"/>
      <c r="F508" s="434"/>
      <c r="G508" s="434"/>
      <c r="H508" s="434"/>
      <c r="I508" s="434"/>
      <c r="J508" s="434"/>
      <c r="K508" s="434"/>
      <c r="L508" s="434"/>
      <c r="M508" s="434"/>
      <c r="N508" s="434"/>
      <c r="O508" s="434"/>
      <c r="P508" s="434"/>
      <c r="Q508" s="434"/>
      <c r="R508" s="434"/>
      <c r="S508" s="434"/>
      <c r="T508" s="434"/>
      <c r="U508" s="434"/>
    </row>
    <row r="509">
      <c r="A509" s="434"/>
      <c r="B509" s="434"/>
      <c r="C509" s="434"/>
      <c r="D509" s="434"/>
      <c r="E509" s="434"/>
      <c r="F509" s="434"/>
      <c r="G509" s="434"/>
      <c r="H509" s="434"/>
      <c r="I509" s="434"/>
      <c r="J509" s="434"/>
      <c r="K509" s="434"/>
      <c r="L509" s="434"/>
      <c r="M509" s="434"/>
      <c r="N509" s="434"/>
      <c r="O509" s="434"/>
      <c r="P509" s="434"/>
      <c r="Q509" s="434"/>
      <c r="R509" s="434"/>
      <c r="S509" s="434"/>
      <c r="T509" s="434"/>
      <c r="U509" s="434"/>
    </row>
    <row r="510">
      <c r="A510" s="434"/>
      <c r="B510" s="434"/>
      <c r="C510" s="434"/>
      <c r="D510" s="434"/>
      <c r="E510" s="434"/>
      <c r="F510" s="434"/>
      <c r="G510" s="434"/>
      <c r="H510" s="434"/>
      <c r="I510" s="434"/>
      <c r="J510" s="434"/>
      <c r="K510" s="434"/>
      <c r="L510" s="434"/>
      <c r="M510" s="434"/>
      <c r="N510" s="434"/>
      <c r="O510" s="434"/>
      <c r="P510" s="434"/>
      <c r="Q510" s="434"/>
      <c r="R510" s="434"/>
      <c r="S510" s="434"/>
      <c r="T510" s="434"/>
      <c r="U510" s="434"/>
    </row>
    <row r="511">
      <c r="A511" s="434"/>
      <c r="B511" s="434"/>
      <c r="C511" s="434"/>
      <c r="D511" s="434"/>
      <c r="E511" s="434"/>
      <c r="F511" s="434"/>
      <c r="G511" s="434"/>
      <c r="H511" s="434"/>
      <c r="I511" s="434"/>
      <c r="J511" s="434"/>
      <c r="K511" s="434"/>
      <c r="L511" s="434"/>
      <c r="M511" s="434"/>
      <c r="N511" s="434"/>
      <c r="O511" s="434"/>
      <c r="P511" s="434"/>
      <c r="Q511" s="434"/>
      <c r="R511" s="434"/>
      <c r="S511" s="434"/>
      <c r="T511" s="434"/>
      <c r="U511" s="434"/>
    </row>
    <row r="512">
      <c r="A512" s="434"/>
      <c r="B512" s="434"/>
      <c r="C512" s="434"/>
      <c r="D512" s="434"/>
      <c r="E512" s="434"/>
      <c r="F512" s="434"/>
      <c r="G512" s="434"/>
      <c r="H512" s="434"/>
      <c r="I512" s="434"/>
      <c r="J512" s="434"/>
      <c r="K512" s="434"/>
      <c r="L512" s="434"/>
      <c r="M512" s="434"/>
      <c r="N512" s="434"/>
      <c r="O512" s="434"/>
      <c r="P512" s="434"/>
      <c r="Q512" s="434"/>
      <c r="R512" s="434"/>
      <c r="S512" s="434"/>
      <c r="T512" s="434"/>
      <c r="U512" s="434"/>
    </row>
    <row r="513">
      <c r="A513" s="434"/>
      <c r="B513" s="434"/>
      <c r="C513" s="434"/>
      <c r="D513" s="434"/>
      <c r="E513" s="434"/>
      <c r="F513" s="434"/>
      <c r="G513" s="434"/>
      <c r="H513" s="434"/>
      <c r="I513" s="434"/>
      <c r="J513" s="434"/>
      <c r="K513" s="434"/>
      <c r="L513" s="434"/>
      <c r="M513" s="434"/>
      <c r="N513" s="434"/>
      <c r="O513" s="434"/>
      <c r="P513" s="434"/>
      <c r="Q513" s="434"/>
      <c r="R513" s="434"/>
      <c r="S513" s="434"/>
      <c r="T513" s="434"/>
      <c r="U513" s="434"/>
    </row>
    <row r="514">
      <c r="A514" s="434"/>
      <c r="B514" s="434"/>
      <c r="C514" s="434"/>
      <c r="D514" s="434"/>
      <c r="E514" s="434"/>
      <c r="F514" s="434"/>
      <c r="G514" s="434"/>
      <c r="H514" s="434"/>
      <c r="I514" s="434"/>
      <c r="J514" s="434"/>
      <c r="K514" s="434"/>
      <c r="L514" s="434"/>
      <c r="M514" s="434"/>
      <c r="N514" s="434"/>
      <c r="O514" s="434"/>
      <c r="P514" s="434"/>
      <c r="Q514" s="434"/>
      <c r="R514" s="434"/>
      <c r="S514" s="434"/>
      <c r="T514" s="434"/>
      <c r="U514" s="434"/>
    </row>
    <row r="515">
      <c r="A515" s="434"/>
      <c r="B515" s="434"/>
      <c r="C515" s="434"/>
      <c r="D515" s="434"/>
      <c r="E515" s="434"/>
      <c r="F515" s="434"/>
      <c r="G515" s="434"/>
      <c r="H515" s="434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434"/>
    </row>
    <row r="516">
      <c r="A516" s="434"/>
      <c r="B516" s="434"/>
      <c r="C516" s="434"/>
      <c r="D516" s="434"/>
      <c r="E516" s="434"/>
      <c r="F516" s="434"/>
      <c r="G516" s="434"/>
      <c r="H516" s="434"/>
      <c r="I516" s="434"/>
      <c r="J516" s="434"/>
      <c r="K516" s="434"/>
      <c r="L516" s="434"/>
      <c r="M516" s="434"/>
      <c r="N516" s="434"/>
      <c r="O516" s="434"/>
      <c r="P516" s="434"/>
      <c r="Q516" s="434"/>
      <c r="R516" s="434"/>
      <c r="S516" s="434"/>
      <c r="T516" s="434"/>
      <c r="U516" s="434"/>
    </row>
    <row r="517">
      <c r="A517" s="434"/>
      <c r="B517" s="434"/>
      <c r="C517" s="434"/>
      <c r="D517" s="434"/>
      <c r="E517" s="434"/>
      <c r="F517" s="434"/>
      <c r="G517" s="434"/>
      <c r="H517" s="434"/>
      <c r="I517" s="434"/>
      <c r="J517" s="434"/>
      <c r="K517" s="434"/>
      <c r="L517" s="434"/>
      <c r="M517" s="434"/>
      <c r="N517" s="434"/>
      <c r="O517" s="434"/>
      <c r="P517" s="434"/>
      <c r="Q517" s="434"/>
      <c r="R517" s="434"/>
      <c r="S517" s="434"/>
      <c r="T517" s="434"/>
      <c r="U517" s="434"/>
    </row>
    <row r="518">
      <c r="A518" s="434"/>
      <c r="B518" s="434"/>
      <c r="C518" s="434"/>
      <c r="D518" s="434"/>
      <c r="E518" s="434"/>
      <c r="F518" s="434"/>
      <c r="G518" s="434"/>
      <c r="H518" s="434"/>
      <c r="I518" s="434"/>
      <c r="J518" s="434"/>
      <c r="K518" s="434"/>
      <c r="L518" s="434"/>
      <c r="M518" s="434"/>
      <c r="N518" s="434"/>
      <c r="O518" s="434"/>
      <c r="P518" s="434"/>
      <c r="Q518" s="434"/>
      <c r="R518" s="434"/>
      <c r="S518" s="434"/>
      <c r="T518" s="434"/>
      <c r="U518" s="434"/>
    </row>
    <row r="519">
      <c r="A519" s="434"/>
      <c r="B519" s="434"/>
      <c r="C519" s="434"/>
      <c r="D519" s="434"/>
      <c r="E519" s="434"/>
      <c r="F519" s="434"/>
      <c r="G519" s="434"/>
      <c r="H519" s="434"/>
      <c r="I519" s="434"/>
      <c r="J519" s="434"/>
      <c r="K519" s="434"/>
      <c r="L519" s="434"/>
      <c r="M519" s="434"/>
      <c r="N519" s="434"/>
      <c r="O519" s="434"/>
      <c r="P519" s="434"/>
      <c r="Q519" s="434"/>
      <c r="R519" s="434"/>
      <c r="S519" s="434"/>
      <c r="T519" s="434"/>
      <c r="U519" s="434"/>
    </row>
    <row r="520">
      <c r="A520" s="434"/>
      <c r="B520" s="434"/>
      <c r="C520" s="434"/>
      <c r="D520" s="434"/>
      <c r="E520" s="434"/>
      <c r="F520" s="434"/>
      <c r="G520" s="434"/>
      <c r="H520" s="434"/>
      <c r="I520" s="434"/>
      <c r="J520" s="434"/>
      <c r="K520" s="434"/>
      <c r="L520" s="434"/>
      <c r="M520" s="434"/>
      <c r="N520" s="434"/>
      <c r="O520" s="434"/>
      <c r="P520" s="434"/>
      <c r="Q520" s="434"/>
      <c r="R520" s="434"/>
      <c r="S520" s="434"/>
      <c r="T520" s="434"/>
      <c r="U520" s="434"/>
    </row>
    <row r="521">
      <c r="A521" s="434"/>
      <c r="B521" s="434"/>
      <c r="C521" s="434"/>
      <c r="D521" s="434"/>
      <c r="E521" s="434"/>
      <c r="F521" s="434"/>
      <c r="G521" s="434"/>
      <c r="H521" s="434"/>
      <c r="I521" s="434"/>
      <c r="J521" s="434"/>
      <c r="K521" s="434"/>
      <c r="L521" s="434"/>
      <c r="M521" s="434"/>
      <c r="N521" s="434"/>
      <c r="O521" s="434"/>
      <c r="P521" s="434"/>
      <c r="Q521" s="434"/>
      <c r="R521" s="434"/>
      <c r="S521" s="434"/>
      <c r="T521" s="434"/>
      <c r="U521" s="434"/>
    </row>
    <row r="522">
      <c r="A522" s="434"/>
      <c r="B522" s="434"/>
      <c r="C522" s="434"/>
      <c r="D522" s="434"/>
      <c r="E522" s="434"/>
      <c r="F522" s="434"/>
      <c r="G522" s="434"/>
      <c r="H522" s="434"/>
      <c r="I522" s="434"/>
      <c r="J522" s="434"/>
      <c r="K522" s="434"/>
      <c r="L522" s="434"/>
      <c r="M522" s="434"/>
      <c r="N522" s="434"/>
      <c r="O522" s="434"/>
      <c r="P522" s="434"/>
      <c r="Q522" s="434"/>
      <c r="R522" s="434"/>
      <c r="S522" s="434"/>
      <c r="T522" s="434"/>
      <c r="U522" s="434"/>
    </row>
    <row r="523">
      <c r="A523" s="434"/>
      <c r="B523" s="434"/>
      <c r="C523" s="434"/>
      <c r="D523" s="434"/>
      <c r="E523" s="434"/>
      <c r="F523" s="434"/>
      <c r="G523" s="434"/>
      <c r="H523" s="434"/>
      <c r="I523" s="434"/>
      <c r="J523" s="434"/>
      <c r="K523" s="434"/>
      <c r="L523" s="434"/>
      <c r="M523" s="434"/>
      <c r="N523" s="434"/>
      <c r="O523" s="434"/>
      <c r="P523" s="434"/>
      <c r="Q523" s="434"/>
      <c r="R523" s="434"/>
      <c r="S523" s="434"/>
      <c r="T523" s="434"/>
      <c r="U523" s="434"/>
    </row>
    <row r="524">
      <c r="A524" s="434"/>
      <c r="B524" s="434"/>
      <c r="C524" s="434"/>
      <c r="D524" s="434"/>
      <c r="E524" s="434"/>
      <c r="F524" s="434"/>
      <c r="G524" s="434"/>
      <c r="H524" s="434"/>
      <c r="I524" s="434"/>
      <c r="J524" s="434"/>
      <c r="K524" s="434"/>
      <c r="L524" s="434"/>
      <c r="M524" s="434"/>
      <c r="N524" s="434"/>
      <c r="O524" s="434"/>
      <c r="P524" s="434"/>
      <c r="Q524" s="434"/>
      <c r="R524" s="434"/>
      <c r="S524" s="434"/>
      <c r="T524" s="434"/>
      <c r="U524" s="434"/>
    </row>
    <row r="525">
      <c r="A525" s="434"/>
      <c r="B525" s="434"/>
      <c r="C525" s="434"/>
      <c r="D525" s="434"/>
      <c r="E525" s="434"/>
      <c r="F525" s="434"/>
      <c r="G525" s="434"/>
      <c r="H525" s="434"/>
      <c r="I525" s="434"/>
      <c r="J525" s="434"/>
      <c r="K525" s="434"/>
      <c r="L525" s="434"/>
      <c r="M525" s="434"/>
      <c r="N525" s="434"/>
      <c r="O525" s="434"/>
      <c r="P525" s="434"/>
      <c r="Q525" s="434"/>
      <c r="R525" s="434"/>
      <c r="S525" s="434"/>
      <c r="T525" s="434"/>
      <c r="U525" s="434"/>
    </row>
    <row r="526">
      <c r="A526" s="434"/>
      <c r="B526" s="434"/>
      <c r="C526" s="434"/>
      <c r="D526" s="434"/>
      <c r="E526" s="434"/>
      <c r="F526" s="434"/>
      <c r="G526" s="434"/>
      <c r="H526" s="434"/>
      <c r="I526" s="434"/>
      <c r="J526" s="434"/>
      <c r="K526" s="434"/>
      <c r="L526" s="434"/>
      <c r="M526" s="434"/>
      <c r="N526" s="434"/>
      <c r="O526" s="434"/>
      <c r="P526" s="434"/>
      <c r="Q526" s="434"/>
      <c r="R526" s="434"/>
      <c r="S526" s="434"/>
      <c r="T526" s="434"/>
      <c r="U526" s="434"/>
    </row>
    <row r="527">
      <c r="A527" s="434"/>
      <c r="B527" s="434"/>
      <c r="C527" s="434"/>
      <c r="D527" s="434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434"/>
      <c r="P527" s="434"/>
      <c r="Q527" s="434"/>
      <c r="R527" s="434"/>
      <c r="S527" s="434"/>
      <c r="T527" s="434"/>
      <c r="U527" s="434"/>
    </row>
    <row r="528">
      <c r="A528" s="434"/>
      <c r="B528" s="434"/>
      <c r="C528" s="434"/>
      <c r="D528" s="434"/>
      <c r="E528" s="434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</row>
    <row r="529">
      <c r="A529" s="434"/>
      <c r="B529" s="434"/>
      <c r="C529" s="434"/>
      <c r="D529" s="434"/>
      <c r="E529" s="434"/>
      <c r="F529" s="434"/>
      <c r="G529" s="434"/>
      <c r="H529" s="434"/>
      <c r="I529" s="434"/>
      <c r="J529" s="434"/>
      <c r="K529" s="434"/>
      <c r="L529" s="434"/>
      <c r="M529" s="434"/>
      <c r="N529" s="434"/>
      <c r="O529" s="434"/>
      <c r="P529" s="434"/>
      <c r="Q529" s="434"/>
      <c r="R529" s="434"/>
      <c r="S529" s="434"/>
      <c r="T529" s="434"/>
      <c r="U529" s="434"/>
    </row>
    <row r="530">
      <c r="A530" s="434"/>
      <c r="B530" s="434"/>
      <c r="C530" s="434"/>
      <c r="D530" s="434"/>
      <c r="E530" s="434"/>
      <c r="F530" s="434"/>
      <c r="G530" s="434"/>
      <c r="H530" s="434"/>
      <c r="I530" s="434"/>
      <c r="J530" s="434"/>
      <c r="K530" s="434"/>
      <c r="L530" s="434"/>
      <c r="M530" s="434"/>
      <c r="N530" s="434"/>
      <c r="O530" s="434"/>
      <c r="P530" s="434"/>
      <c r="Q530" s="434"/>
      <c r="R530" s="434"/>
      <c r="S530" s="434"/>
      <c r="T530" s="434"/>
      <c r="U530" s="434"/>
    </row>
    <row r="531">
      <c r="A531" s="434"/>
      <c r="B531" s="434"/>
      <c r="C531" s="434"/>
      <c r="D531" s="434"/>
      <c r="E531" s="434"/>
      <c r="F531" s="434"/>
      <c r="G531" s="434"/>
      <c r="H531" s="434"/>
      <c r="I531" s="434"/>
      <c r="J531" s="434"/>
      <c r="K531" s="434"/>
      <c r="L531" s="434"/>
      <c r="M531" s="434"/>
      <c r="N531" s="434"/>
      <c r="O531" s="434"/>
      <c r="P531" s="434"/>
      <c r="Q531" s="434"/>
      <c r="R531" s="434"/>
      <c r="S531" s="434"/>
      <c r="T531" s="434"/>
      <c r="U531" s="434"/>
    </row>
    <row r="532">
      <c r="A532" s="434"/>
      <c r="B532" s="434"/>
      <c r="C532" s="434"/>
      <c r="D532" s="434"/>
      <c r="E532" s="434"/>
      <c r="F532" s="434"/>
      <c r="G532" s="434"/>
      <c r="H532" s="434"/>
      <c r="I532" s="434"/>
      <c r="J532" s="434"/>
      <c r="K532" s="434"/>
      <c r="L532" s="434"/>
      <c r="M532" s="434"/>
      <c r="N532" s="434"/>
      <c r="O532" s="434"/>
      <c r="P532" s="434"/>
      <c r="Q532" s="434"/>
      <c r="R532" s="434"/>
      <c r="S532" s="434"/>
      <c r="T532" s="434"/>
      <c r="U532" s="434"/>
    </row>
    <row r="533">
      <c r="A533" s="434"/>
      <c r="B533" s="434"/>
      <c r="C533" s="434"/>
      <c r="D533" s="434"/>
      <c r="E533" s="434"/>
      <c r="F533" s="434"/>
      <c r="G533" s="434"/>
      <c r="H533" s="434"/>
      <c r="I533" s="434"/>
      <c r="J533" s="434"/>
      <c r="K533" s="434"/>
      <c r="L533" s="434"/>
      <c r="M533" s="434"/>
      <c r="N533" s="434"/>
      <c r="O533" s="434"/>
      <c r="P533" s="434"/>
      <c r="Q533" s="434"/>
      <c r="R533" s="434"/>
      <c r="S533" s="434"/>
      <c r="T533" s="434"/>
      <c r="U533" s="434"/>
    </row>
    <row r="534">
      <c r="A534" s="434"/>
      <c r="B534" s="434"/>
      <c r="C534" s="434"/>
      <c r="D534" s="434"/>
      <c r="E534" s="434"/>
      <c r="F534" s="434"/>
      <c r="G534" s="434"/>
      <c r="H534" s="434"/>
      <c r="I534" s="434"/>
      <c r="J534" s="434"/>
      <c r="K534" s="434"/>
      <c r="L534" s="434"/>
      <c r="M534" s="434"/>
      <c r="N534" s="434"/>
      <c r="O534" s="434"/>
      <c r="P534" s="434"/>
      <c r="Q534" s="434"/>
      <c r="R534" s="434"/>
      <c r="S534" s="434"/>
      <c r="T534" s="434"/>
      <c r="U534" s="434"/>
    </row>
    <row r="535">
      <c r="A535" s="434"/>
      <c r="B535" s="434"/>
      <c r="C535" s="434"/>
      <c r="D535" s="434"/>
      <c r="E535" s="434"/>
      <c r="F535" s="434"/>
      <c r="G535" s="434"/>
      <c r="H535" s="434"/>
      <c r="I535" s="434"/>
      <c r="J535" s="434"/>
      <c r="K535" s="434"/>
      <c r="L535" s="434"/>
      <c r="M535" s="434"/>
      <c r="N535" s="434"/>
      <c r="O535" s="434"/>
      <c r="P535" s="434"/>
      <c r="Q535" s="434"/>
      <c r="R535" s="434"/>
      <c r="S535" s="434"/>
      <c r="T535" s="434"/>
      <c r="U535" s="434"/>
    </row>
    <row r="536">
      <c r="A536" s="434"/>
      <c r="B536" s="434"/>
      <c r="C536" s="434"/>
      <c r="D536" s="434"/>
      <c r="E536" s="434"/>
      <c r="F536" s="434"/>
      <c r="G536" s="434"/>
      <c r="H536" s="434"/>
      <c r="I536" s="434"/>
      <c r="J536" s="434"/>
      <c r="K536" s="434"/>
      <c r="L536" s="434"/>
      <c r="M536" s="434"/>
      <c r="N536" s="434"/>
      <c r="O536" s="434"/>
      <c r="P536" s="434"/>
      <c r="Q536" s="434"/>
      <c r="R536" s="434"/>
      <c r="S536" s="434"/>
      <c r="T536" s="434"/>
      <c r="U536" s="434"/>
    </row>
    <row r="537">
      <c r="A537" s="434"/>
      <c r="B537" s="434"/>
      <c r="C537" s="434"/>
      <c r="D537" s="434"/>
      <c r="E537" s="434"/>
      <c r="F537" s="434"/>
      <c r="G537" s="434"/>
      <c r="H537" s="434"/>
      <c r="I537" s="434"/>
      <c r="J537" s="434"/>
      <c r="K537" s="434"/>
      <c r="L537" s="434"/>
      <c r="M537" s="434"/>
      <c r="N537" s="434"/>
      <c r="O537" s="434"/>
      <c r="P537" s="434"/>
      <c r="Q537" s="434"/>
      <c r="R537" s="434"/>
      <c r="S537" s="434"/>
      <c r="T537" s="434"/>
      <c r="U537" s="434"/>
    </row>
    <row r="538">
      <c r="A538" s="434"/>
      <c r="B538" s="434"/>
      <c r="C538" s="434"/>
      <c r="D538" s="434"/>
      <c r="E538" s="434"/>
      <c r="F538" s="434"/>
      <c r="G538" s="434"/>
      <c r="H538" s="434"/>
      <c r="I538" s="434"/>
      <c r="J538" s="434"/>
      <c r="K538" s="434"/>
      <c r="L538" s="434"/>
      <c r="M538" s="434"/>
      <c r="N538" s="434"/>
      <c r="O538" s="434"/>
      <c r="P538" s="434"/>
      <c r="Q538" s="434"/>
      <c r="R538" s="434"/>
      <c r="S538" s="434"/>
      <c r="T538" s="434"/>
      <c r="U538" s="434"/>
    </row>
    <row r="539">
      <c r="A539" s="434"/>
      <c r="B539" s="434"/>
      <c r="C539" s="434"/>
      <c r="D539" s="434"/>
      <c r="E539" s="434"/>
      <c r="F539" s="434"/>
      <c r="G539" s="434"/>
      <c r="H539" s="434"/>
      <c r="I539" s="434"/>
      <c r="J539" s="434"/>
      <c r="K539" s="434"/>
      <c r="L539" s="434"/>
      <c r="M539" s="434"/>
      <c r="N539" s="434"/>
      <c r="O539" s="434"/>
      <c r="P539" s="434"/>
      <c r="Q539" s="434"/>
      <c r="R539" s="434"/>
      <c r="S539" s="434"/>
      <c r="T539" s="434"/>
      <c r="U539" s="434"/>
    </row>
    <row r="540">
      <c r="A540" s="434"/>
      <c r="B540" s="434"/>
      <c r="C540" s="434"/>
      <c r="D540" s="434"/>
      <c r="E540" s="434"/>
      <c r="F540" s="434"/>
      <c r="G540" s="434"/>
      <c r="H540" s="434"/>
      <c r="I540" s="434"/>
      <c r="J540" s="434"/>
      <c r="K540" s="434"/>
      <c r="L540" s="434"/>
      <c r="M540" s="434"/>
      <c r="N540" s="434"/>
      <c r="O540" s="434"/>
      <c r="P540" s="434"/>
      <c r="Q540" s="434"/>
      <c r="R540" s="434"/>
      <c r="S540" s="434"/>
      <c r="T540" s="434"/>
      <c r="U540" s="434"/>
    </row>
    <row r="541">
      <c r="A541" s="434"/>
      <c r="B541" s="434"/>
      <c r="C541" s="434"/>
      <c r="D541" s="434"/>
      <c r="E541" s="434"/>
      <c r="F541" s="434"/>
      <c r="G541" s="434"/>
      <c r="H541" s="434"/>
      <c r="I541" s="434"/>
      <c r="J541" s="434"/>
      <c r="K541" s="434"/>
      <c r="L541" s="434"/>
      <c r="M541" s="434"/>
      <c r="N541" s="434"/>
      <c r="O541" s="434"/>
      <c r="P541" s="434"/>
      <c r="Q541" s="434"/>
      <c r="R541" s="434"/>
      <c r="S541" s="434"/>
      <c r="T541" s="434"/>
      <c r="U541" s="434"/>
    </row>
    <row r="542">
      <c r="A542" s="434"/>
      <c r="B542" s="434"/>
      <c r="C542" s="434"/>
      <c r="D542" s="434"/>
      <c r="E542" s="434"/>
      <c r="F542" s="434"/>
      <c r="G542" s="434"/>
      <c r="H542" s="434"/>
      <c r="I542" s="434"/>
      <c r="J542" s="434"/>
      <c r="K542" s="434"/>
      <c r="L542" s="434"/>
      <c r="M542" s="434"/>
      <c r="N542" s="434"/>
      <c r="O542" s="434"/>
      <c r="P542" s="434"/>
      <c r="Q542" s="434"/>
      <c r="R542" s="434"/>
      <c r="S542" s="434"/>
      <c r="T542" s="434"/>
      <c r="U542" s="434"/>
    </row>
    <row r="543">
      <c r="A543" s="434"/>
      <c r="B543" s="434"/>
      <c r="C543" s="434"/>
      <c r="D543" s="434"/>
      <c r="E543" s="434"/>
      <c r="F543" s="434"/>
      <c r="G543" s="434"/>
      <c r="H543" s="434"/>
      <c r="I543" s="434"/>
      <c r="J543" s="434"/>
      <c r="K543" s="434"/>
      <c r="L543" s="434"/>
      <c r="M543" s="434"/>
      <c r="N543" s="434"/>
      <c r="O543" s="434"/>
      <c r="P543" s="434"/>
      <c r="Q543" s="434"/>
      <c r="R543" s="434"/>
      <c r="S543" s="434"/>
      <c r="T543" s="434"/>
      <c r="U543" s="434"/>
    </row>
    <row r="544">
      <c r="A544" s="434"/>
      <c r="B544" s="434"/>
      <c r="C544" s="434"/>
      <c r="D544" s="434"/>
      <c r="E544" s="434"/>
      <c r="F544" s="434"/>
      <c r="G544" s="434"/>
      <c r="H544" s="434"/>
      <c r="I544" s="434"/>
      <c r="J544" s="434"/>
      <c r="K544" s="434"/>
      <c r="L544" s="434"/>
      <c r="M544" s="434"/>
      <c r="N544" s="434"/>
      <c r="O544" s="434"/>
      <c r="P544" s="434"/>
      <c r="Q544" s="434"/>
      <c r="R544" s="434"/>
      <c r="S544" s="434"/>
      <c r="T544" s="434"/>
      <c r="U544" s="434"/>
    </row>
    <row r="545">
      <c r="A545" s="434"/>
      <c r="B545" s="434"/>
      <c r="C545" s="434"/>
      <c r="D545" s="434"/>
      <c r="E545" s="434"/>
      <c r="F545" s="434"/>
      <c r="G545" s="434"/>
      <c r="H545" s="434"/>
      <c r="I545" s="434"/>
      <c r="J545" s="434"/>
      <c r="K545" s="434"/>
      <c r="L545" s="434"/>
      <c r="M545" s="434"/>
      <c r="N545" s="434"/>
      <c r="O545" s="434"/>
      <c r="P545" s="434"/>
      <c r="Q545" s="434"/>
      <c r="R545" s="434"/>
      <c r="S545" s="434"/>
      <c r="T545" s="434"/>
      <c r="U545" s="434"/>
    </row>
    <row r="546">
      <c r="A546" s="434"/>
      <c r="B546" s="434"/>
      <c r="C546" s="434"/>
      <c r="D546" s="434"/>
      <c r="E546" s="434"/>
      <c r="F546" s="434"/>
      <c r="G546" s="434"/>
      <c r="H546" s="434"/>
      <c r="I546" s="434"/>
      <c r="J546" s="434"/>
      <c r="K546" s="434"/>
      <c r="L546" s="434"/>
      <c r="M546" s="434"/>
      <c r="N546" s="434"/>
      <c r="O546" s="434"/>
      <c r="P546" s="434"/>
      <c r="Q546" s="434"/>
      <c r="R546" s="434"/>
      <c r="S546" s="434"/>
      <c r="T546" s="434"/>
      <c r="U546" s="434"/>
    </row>
    <row r="547">
      <c r="A547" s="434"/>
      <c r="B547" s="434"/>
      <c r="C547" s="434"/>
      <c r="D547" s="434"/>
      <c r="E547" s="434"/>
      <c r="F547" s="434"/>
      <c r="G547" s="434"/>
      <c r="H547" s="434"/>
      <c r="I547" s="434"/>
      <c r="J547" s="434"/>
      <c r="K547" s="434"/>
      <c r="L547" s="434"/>
      <c r="M547" s="434"/>
      <c r="N547" s="434"/>
      <c r="O547" s="434"/>
      <c r="P547" s="434"/>
      <c r="Q547" s="434"/>
      <c r="R547" s="434"/>
      <c r="S547" s="434"/>
      <c r="T547" s="434"/>
      <c r="U547" s="434"/>
    </row>
    <row r="548">
      <c r="A548" s="434"/>
      <c r="B548" s="434"/>
      <c r="C548" s="434"/>
      <c r="D548" s="434"/>
      <c r="E548" s="434"/>
      <c r="F548" s="434"/>
      <c r="G548" s="434"/>
      <c r="H548" s="434"/>
      <c r="I548" s="434"/>
      <c r="J548" s="434"/>
      <c r="K548" s="434"/>
      <c r="L548" s="434"/>
      <c r="M548" s="434"/>
      <c r="N548" s="434"/>
      <c r="O548" s="434"/>
      <c r="P548" s="434"/>
      <c r="Q548" s="434"/>
      <c r="R548" s="434"/>
      <c r="S548" s="434"/>
      <c r="T548" s="434"/>
      <c r="U548" s="434"/>
    </row>
    <row r="549">
      <c r="A549" s="434"/>
      <c r="B549" s="434"/>
      <c r="C549" s="434"/>
      <c r="D549" s="434"/>
      <c r="E549" s="434"/>
      <c r="F549" s="434"/>
      <c r="G549" s="434"/>
      <c r="H549" s="434"/>
      <c r="I549" s="434"/>
      <c r="J549" s="434"/>
      <c r="K549" s="434"/>
      <c r="L549" s="434"/>
      <c r="M549" s="434"/>
      <c r="N549" s="434"/>
      <c r="O549" s="434"/>
      <c r="P549" s="434"/>
      <c r="Q549" s="434"/>
      <c r="R549" s="434"/>
      <c r="S549" s="434"/>
      <c r="T549" s="434"/>
      <c r="U549" s="434"/>
    </row>
    <row r="550">
      <c r="A550" s="434"/>
      <c r="B550" s="434"/>
      <c r="C550" s="434"/>
      <c r="D550" s="434"/>
      <c r="E550" s="434"/>
      <c r="F550" s="434"/>
      <c r="G550" s="434"/>
      <c r="H550" s="434"/>
      <c r="I550" s="434"/>
      <c r="J550" s="434"/>
      <c r="K550" s="434"/>
      <c r="L550" s="434"/>
      <c r="M550" s="434"/>
      <c r="N550" s="434"/>
      <c r="O550" s="434"/>
      <c r="P550" s="434"/>
      <c r="Q550" s="434"/>
      <c r="R550" s="434"/>
      <c r="S550" s="434"/>
      <c r="T550" s="434"/>
      <c r="U550" s="434"/>
    </row>
    <row r="551">
      <c r="A551" s="434"/>
      <c r="B551" s="434"/>
      <c r="C551" s="434"/>
      <c r="D551" s="434"/>
      <c r="E551" s="434"/>
      <c r="F551" s="434"/>
      <c r="G551" s="434"/>
      <c r="H551" s="434"/>
      <c r="I551" s="434"/>
      <c r="J551" s="434"/>
      <c r="K551" s="434"/>
      <c r="L551" s="434"/>
      <c r="M551" s="434"/>
      <c r="N551" s="434"/>
      <c r="O551" s="434"/>
      <c r="P551" s="434"/>
      <c r="Q551" s="434"/>
      <c r="R551" s="434"/>
      <c r="S551" s="434"/>
      <c r="T551" s="434"/>
      <c r="U551" s="434"/>
    </row>
    <row r="552">
      <c r="A552" s="434"/>
      <c r="B552" s="434"/>
      <c r="C552" s="434"/>
      <c r="D552" s="434"/>
      <c r="E552" s="434"/>
      <c r="F552" s="434"/>
      <c r="G552" s="434"/>
      <c r="H552" s="434"/>
      <c r="I552" s="434"/>
      <c r="J552" s="434"/>
      <c r="K552" s="434"/>
      <c r="L552" s="434"/>
      <c r="M552" s="434"/>
      <c r="N552" s="434"/>
      <c r="O552" s="434"/>
      <c r="P552" s="434"/>
      <c r="Q552" s="434"/>
      <c r="R552" s="434"/>
      <c r="S552" s="434"/>
      <c r="T552" s="434"/>
      <c r="U552" s="434"/>
    </row>
    <row r="553">
      <c r="A553" s="434"/>
      <c r="B553" s="434"/>
      <c r="C553" s="434"/>
      <c r="D553" s="434"/>
      <c r="E553" s="434"/>
      <c r="F553" s="434"/>
      <c r="G553" s="434"/>
      <c r="H553" s="434"/>
      <c r="I553" s="434"/>
      <c r="J553" s="434"/>
      <c r="K553" s="434"/>
      <c r="L553" s="434"/>
      <c r="M553" s="434"/>
      <c r="N553" s="434"/>
      <c r="O553" s="434"/>
      <c r="P553" s="434"/>
      <c r="Q553" s="434"/>
      <c r="R553" s="434"/>
      <c r="S553" s="434"/>
      <c r="T553" s="434"/>
      <c r="U553" s="434"/>
    </row>
    <row r="554">
      <c r="A554" s="434"/>
      <c r="B554" s="434"/>
      <c r="C554" s="434"/>
      <c r="D554" s="434"/>
      <c r="E554" s="434"/>
      <c r="F554" s="434"/>
      <c r="G554" s="434"/>
      <c r="H554" s="434"/>
      <c r="I554" s="434"/>
      <c r="J554" s="434"/>
      <c r="K554" s="434"/>
      <c r="L554" s="434"/>
      <c r="M554" s="434"/>
      <c r="N554" s="434"/>
      <c r="O554" s="434"/>
      <c r="P554" s="434"/>
      <c r="Q554" s="434"/>
      <c r="R554" s="434"/>
      <c r="S554" s="434"/>
      <c r="T554" s="434"/>
      <c r="U554" s="434"/>
    </row>
    <row r="555">
      <c r="A555" s="434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</row>
    <row r="556">
      <c r="A556" s="434"/>
      <c r="B556" s="434"/>
      <c r="C556" s="434"/>
      <c r="D556" s="434"/>
      <c r="E556" s="434"/>
      <c r="F556" s="434"/>
      <c r="G556" s="434"/>
      <c r="H556" s="434"/>
      <c r="I556" s="434"/>
      <c r="J556" s="434"/>
      <c r="K556" s="434"/>
      <c r="L556" s="434"/>
      <c r="M556" s="434"/>
      <c r="N556" s="434"/>
      <c r="O556" s="434"/>
      <c r="P556" s="434"/>
      <c r="Q556" s="434"/>
      <c r="R556" s="434"/>
      <c r="S556" s="434"/>
      <c r="T556" s="434"/>
      <c r="U556" s="434"/>
    </row>
    <row r="557">
      <c r="A557" s="434"/>
      <c r="B557" s="434"/>
      <c r="C557" s="434"/>
      <c r="D557" s="434"/>
      <c r="E557" s="434"/>
      <c r="F557" s="434"/>
      <c r="G557" s="434"/>
      <c r="H557" s="434"/>
      <c r="I557" s="434"/>
      <c r="J557" s="434"/>
      <c r="K557" s="434"/>
      <c r="L557" s="434"/>
      <c r="M557" s="434"/>
      <c r="N557" s="434"/>
      <c r="O557" s="434"/>
      <c r="P557" s="434"/>
      <c r="Q557" s="434"/>
      <c r="R557" s="434"/>
      <c r="S557" s="434"/>
      <c r="T557" s="434"/>
      <c r="U557" s="434"/>
    </row>
    <row r="558">
      <c r="A558" s="434"/>
      <c r="B558" s="434"/>
      <c r="C558" s="434"/>
      <c r="D558" s="434"/>
      <c r="E558" s="434"/>
      <c r="F558" s="434"/>
      <c r="G558" s="434"/>
      <c r="H558" s="434"/>
      <c r="I558" s="434"/>
      <c r="J558" s="434"/>
      <c r="K558" s="434"/>
      <c r="L558" s="434"/>
      <c r="M558" s="434"/>
      <c r="N558" s="434"/>
      <c r="O558" s="434"/>
      <c r="P558" s="434"/>
      <c r="Q558" s="434"/>
      <c r="R558" s="434"/>
      <c r="S558" s="434"/>
      <c r="T558" s="434"/>
      <c r="U558" s="434"/>
    </row>
    <row r="559">
      <c r="A559" s="434"/>
      <c r="B559" s="434"/>
      <c r="C559" s="434"/>
      <c r="D559" s="434"/>
      <c r="E559" s="434"/>
      <c r="F559" s="434"/>
      <c r="G559" s="434"/>
      <c r="H559" s="434"/>
      <c r="I559" s="434"/>
      <c r="J559" s="434"/>
      <c r="K559" s="434"/>
      <c r="L559" s="434"/>
      <c r="M559" s="434"/>
      <c r="N559" s="434"/>
      <c r="O559" s="434"/>
      <c r="P559" s="434"/>
      <c r="Q559" s="434"/>
      <c r="R559" s="434"/>
      <c r="S559" s="434"/>
      <c r="T559" s="434"/>
      <c r="U559" s="434"/>
    </row>
    <row r="560">
      <c r="A560" s="434"/>
      <c r="B560" s="434"/>
      <c r="C560" s="434"/>
      <c r="D560" s="434"/>
      <c r="E560" s="434"/>
      <c r="F560" s="434"/>
      <c r="G560" s="434"/>
      <c r="H560" s="434"/>
      <c r="I560" s="434"/>
      <c r="J560" s="434"/>
      <c r="K560" s="434"/>
      <c r="L560" s="434"/>
      <c r="M560" s="434"/>
      <c r="N560" s="434"/>
      <c r="O560" s="434"/>
      <c r="P560" s="434"/>
      <c r="Q560" s="434"/>
      <c r="R560" s="434"/>
      <c r="S560" s="434"/>
      <c r="T560" s="434"/>
      <c r="U560" s="434"/>
    </row>
    <row r="561">
      <c r="A561" s="434"/>
      <c r="B561" s="434"/>
      <c r="C561" s="434"/>
      <c r="D561" s="434"/>
      <c r="E561" s="434"/>
      <c r="F561" s="434"/>
      <c r="G561" s="434"/>
      <c r="H561" s="434"/>
      <c r="I561" s="434"/>
      <c r="J561" s="434"/>
      <c r="K561" s="434"/>
      <c r="L561" s="434"/>
      <c r="M561" s="434"/>
      <c r="N561" s="434"/>
      <c r="O561" s="434"/>
      <c r="P561" s="434"/>
      <c r="Q561" s="434"/>
      <c r="R561" s="434"/>
      <c r="S561" s="434"/>
      <c r="T561" s="434"/>
      <c r="U561" s="434"/>
    </row>
    <row r="562">
      <c r="A562" s="434"/>
      <c r="B562" s="434"/>
      <c r="C562" s="434"/>
      <c r="D562" s="434"/>
      <c r="E562" s="434"/>
      <c r="F562" s="434"/>
      <c r="G562" s="434"/>
      <c r="H562" s="434"/>
      <c r="I562" s="434"/>
      <c r="J562" s="434"/>
      <c r="K562" s="434"/>
      <c r="L562" s="434"/>
      <c r="M562" s="434"/>
      <c r="N562" s="434"/>
      <c r="O562" s="434"/>
      <c r="P562" s="434"/>
      <c r="Q562" s="434"/>
      <c r="R562" s="434"/>
      <c r="S562" s="434"/>
      <c r="T562" s="434"/>
      <c r="U562" s="434"/>
    </row>
    <row r="563">
      <c r="A563" s="434"/>
      <c r="B563" s="434"/>
      <c r="C563" s="434"/>
      <c r="D563" s="434"/>
      <c r="E563" s="434"/>
      <c r="F563" s="434"/>
      <c r="G563" s="434"/>
      <c r="H563" s="434"/>
      <c r="I563" s="434"/>
      <c r="J563" s="434"/>
      <c r="K563" s="434"/>
      <c r="L563" s="434"/>
      <c r="M563" s="434"/>
      <c r="N563" s="434"/>
      <c r="O563" s="434"/>
      <c r="P563" s="434"/>
      <c r="Q563" s="434"/>
      <c r="R563" s="434"/>
      <c r="S563" s="434"/>
      <c r="T563" s="434"/>
      <c r="U563" s="434"/>
    </row>
    <row r="564">
      <c r="A564" s="434"/>
      <c r="B564" s="434"/>
      <c r="C564" s="434"/>
      <c r="D564" s="434"/>
      <c r="E564" s="434"/>
      <c r="F564" s="434"/>
      <c r="G564" s="434"/>
      <c r="H564" s="434"/>
      <c r="I564" s="434"/>
      <c r="J564" s="434"/>
      <c r="K564" s="434"/>
      <c r="L564" s="434"/>
      <c r="M564" s="434"/>
      <c r="N564" s="434"/>
      <c r="O564" s="434"/>
      <c r="P564" s="434"/>
      <c r="Q564" s="434"/>
      <c r="R564" s="434"/>
      <c r="S564" s="434"/>
      <c r="T564" s="434"/>
      <c r="U564" s="434"/>
    </row>
    <row r="565">
      <c r="A565" s="434"/>
      <c r="B565" s="434"/>
      <c r="C565" s="434"/>
      <c r="D565" s="434"/>
      <c r="E565" s="434"/>
      <c r="F565" s="434"/>
      <c r="G565" s="434"/>
      <c r="H565" s="434"/>
      <c r="I565" s="434"/>
      <c r="J565" s="434"/>
      <c r="K565" s="434"/>
      <c r="L565" s="434"/>
      <c r="M565" s="434"/>
      <c r="N565" s="434"/>
      <c r="O565" s="434"/>
      <c r="P565" s="434"/>
      <c r="Q565" s="434"/>
      <c r="R565" s="434"/>
      <c r="S565" s="434"/>
      <c r="T565" s="434"/>
      <c r="U565" s="434"/>
    </row>
    <row r="566">
      <c r="A566" s="434"/>
      <c r="B566" s="434"/>
      <c r="C566" s="434"/>
      <c r="D566" s="434"/>
      <c r="E566" s="434"/>
      <c r="F566" s="434"/>
      <c r="G566" s="434"/>
      <c r="H566" s="434"/>
      <c r="I566" s="434"/>
      <c r="J566" s="434"/>
      <c r="K566" s="434"/>
      <c r="L566" s="434"/>
      <c r="M566" s="434"/>
      <c r="N566" s="434"/>
      <c r="O566" s="434"/>
      <c r="P566" s="434"/>
      <c r="Q566" s="434"/>
      <c r="R566" s="434"/>
      <c r="S566" s="434"/>
      <c r="T566" s="434"/>
      <c r="U566" s="434"/>
    </row>
    <row r="567">
      <c r="A567" s="434"/>
      <c r="B567" s="434"/>
      <c r="C567" s="434"/>
      <c r="D567" s="434"/>
      <c r="E567" s="434"/>
      <c r="F567" s="434"/>
      <c r="G567" s="434"/>
      <c r="H567" s="434"/>
      <c r="I567" s="434"/>
      <c r="J567" s="434"/>
      <c r="K567" s="434"/>
      <c r="L567" s="434"/>
      <c r="M567" s="434"/>
      <c r="N567" s="434"/>
      <c r="O567" s="434"/>
      <c r="P567" s="434"/>
      <c r="Q567" s="434"/>
      <c r="R567" s="434"/>
      <c r="S567" s="434"/>
      <c r="T567" s="434"/>
      <c r="U567" s="434"/>
    </row>
    <row r="568">
      <c r="A568" s="434"/>
      <c r="B568" s="434"/>
      <c r="C568" s="434"/>
      <c r="D568" s="434"/>
      <c r="E568" s="434"/>
      <c r="F568" s="434"/>
      <c r="G568" s="434"/>
      <c r="H568" s="434"/>
      <c r="I568" s="434"/>
      <c r="J568" s="434"/>
      <c r="K568" s="434"/>
      <c r="L568" s="434"/>
      <c r="M568" s="434"/>
      <c r="N568" s="434"/>
      <c r="O568" s="434"/>
      <c r="P568" s="434"/>
      <c r="Q568" s="434"/>
      <c r="R568" s="434"/>
      <c r="S568" s="434"/>
      <c r="T568" s="434"/>
      <c r="U568" s="434"/>
    </row>
    <row r="569">
      <c r="A569" s="434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</row>
    <row r="570">
      <c r="A570" s="434"/>
      <c r="B570" s="434"/>
      <c r="C570" s="434"/>
      <c r="D570" s="434"/>
      <c r="E570" s="434"/>
      <c r="F570" s="434"/>
      <c r="G570" s="434"/>
      <c r="H570" s="434"/>
      <c r="I570" s="434"/>
      <c r="J570" s="434"/>
      <c r="K570" s="434"/>
      <c r="L570" s="434"/>
      <c r="M570" s="434"/>
      <c r="N570" s="434"/>
      <c r="O570" s="434"/>
      <c r="P570" s="434"/>
      <c r="Q570" s="434"/>
      <c r="R570" s="434"/>
      <c r="S570" s="434"/>
      <c r="T570" s="434"/>
      <c r="U570" s="434"/>
    </row>
    <row r="571">
      <c r="A571" s="434"/>
      <c r="B571" s="434"/>
      <c r="C571" s="434"/>
      <c r="D571" s="434"/>
      <c r="E571" s="434"/>
      <c r="F571" s="434"/>
      <c r="G571" s="434"/>
      <c r="H571" s="434"/>
      <c r="I571" s="434"/>
      <c r="J571" s="434"/>
      <c r="K571" s="434"/>
      <c r="L571" s="434"/>
      <c r="M571" s="434"/>
      <c r="N571" s="434"/>
      <c r="O571" s="434"/>
      <c r="P571" s="434"/>
      <c r="Q571" s="434"/>
      <c r="R571" s="434"/>
      <c r="S571" s="434"/>
      <c r="T571" s="434"/>
      <c r="U571" s="434"/>
    </row>
    <row r="572">
      <c r="A572" s="434"/>
      <c r="B572" s="434"/>
      <c r="C572" s="434"/>
      <c r="D572" s="434"/>
      <c r="E572" s="434"/>
      <c r="F572" s="434"/>
      <c r="G572" s="434"/>
      <c r="H572" s="434"/>
      <c r="I572" s="434"/>
      <c r="J572" s="434"/>
      <c r="K572" s="434"/>
      <c r="L572" s="434"/>
      <c r="M572" s="434"/>
      <c r="N572" s="434"/>
      <c r="O572" s="434"/>
      <c r="P572" s="434"/>
      <c r="Q572" s="434"/>
      <c r="R572" s="434"/>
      <c r="S572" s="434"/>
      <c r="T572" s="434"/>
      <c r="U572" s="434"/>
    </row>
    <row r="573">
      <c r="A573" s="434"/>
      <c r="B573" s="434"/>
      <c r="C573" s="434"/>
      <c r="D573" s="434"/>
      <c r="E573" s="434"/>
      <c r="F573" s="434"/>
      <c r="G573" s="434"/>
      <c r="H573" s="434"/>
      <c r="I573" s="434"/>
      <c r="J573" s="434"/>
      <c r="K573" s="434"/>
      <c r="L573" s="434"/>
      <c r="M573" s="434"/>
      <c r="N573" s="434"/>
      <c r="O573" s="434"/>
      <c r="P573" s="434"/>
      <c r="Q573" s="434"/>
      <c r="R573" s="434"/>
      <c r="S573" s="434"/>
      <c r="T573" s="434"/>
      <c r="U573" s="434"/>
    </row>
    <row r="574">
      <c r="A574" s="434"/>
      <c r="B574" s="434"/>
      <c r="C574" s="434"/>
      <c r="D574" s="434"/>
      <c r="E574" s="434"/>
      <c r="F574" s="434"/>
      <c r="G574" s="434"/>
      <c r="H574" s="434"/>
      <c r="I574" s="434"/>
      <c r="J574" s="434"/>
      <c r="K574" s="434"/>
      <c r="L574" s="434"/>
      <c r="M574" s="434"/>
      <c r="N574" s="434"/>
      <c r="O574" s="434"/>
      <c r="P574" s="434"/>
      <c r="Q574" s="434"/>
      <c r="R574" s="434"/>
      <c r="S574" s="434"/>
      <c r="T574" s="434"/>
      <c r="U574" s="434"/>
    </row>
    <row r="575">
      <c r="A575" s="434"/>
      <c r="B575" s="434"/>
      <c r="C575" s="434"/>
      <c r="D575" s="434"/>
      <c r="E575" s="434"/>
      <c r="F575" s="434"/>
      <c r="G575" s="434"/>
      <c r="H575" s="434"/>
      <c r="I575" s="434"/>
      <c r="J575" s="434"/>
      <c r="K575" s="434"/>
      <c r="L575" s="434"/>
      <c r="M575" s="434"/>
      <c r="N575" s="434"/>
      <c r="O575" s="434"/>
      <c r="P575" s="434"/>
      <c r="Q575" s="434"/>
      <c r="R575" s="434"/>
      <c r="S575" s="434"/>
      <c r="T575" s="434"/>
      <c r="U575" s="434"/>
    </row>
    <row r="576">
      <c r="A576" s="434"/>
      <c r="B576" s="434"/>
      <c r="C576" s="434"/>
      <c r="D576" s="434"/>
      <c r="E576" s="434"/>
      <c r="F576" s="434"/>
      <c r="G576" s="434"/>
      <c r="H576" s="434"/>
      <c r="I576" s="434"/>
      <c r="J576" s="434"/>
      <c r="K576" s="434"/>
      <c r="L576" s="434"/>
      <c r="M576" s="434"/>
      <c r="N576" s="434"/>
      <c r="O576" s="434"/>
      <c r="P576" s="434"/>
      <c r="Q576" s="434"/>
      <c r="R576" s="434"/>
      <c r="S576" s="434"/>
      <c r="T576" s="434"/>
      <c r="U576" s="434"/>
    </row>
    <row r="577">
      <c r="A577" s="434"/>
      <c r="B577" s="434"/>
      <c r="C577" s="434"/>
      <c r="D577" s="434"/>
      <c r="E577" s="434"/>
      <c r="F577" s="434"/>
      <c r="G577" s="434"/>
      <c r="H577" s="434"/>
      <c r="I577" s="434"/>
      <c r="J577" s="434"/>
      <c r="K577" s="434"/>
      <c r="L577" s="434"/>
      <c r="M577" s="434"/>
      <c r="N577" s="434"/>
      <c r="O577" s="434"/>
      <c r="P577" s="434"/>
      <c r="Q577" s="434"/>
      <c r="R577" s="434"/>
      <c r="S577" s="434"/>
      <c r="T577" s="434"/>
      <c r="U577" s="434"/>
    </row>
    <row r="578">
      <c r="A578" s="434"/>
      <c r="B578" s="434"/>
      <c r="C578" s="434"/>
      <c r="D578" s="434"/>
      <c r="E578" s="434"/>
      <c r="F578" s="434"/>
      <c r="G578" s="434"/>
      <c r="H578" s="434"/>
      <c r="I578" s="434"/>
      <c r="J578" s="434"/>
      <c r="K578" s="434"/>
      <c r="L578" s="434"/>
      <c r="M578" s="434"/>
      <c r="N578" s="434"/>
      <c r="O578" s="434"/>
      <c r="P578" s="434"/>
      <c r="Q578" s="434"/>
      <c r="R578" s="434"/>
      <c r="S578" s="434"/>
      <c r="T578" s="434"/>
      <c r="U578" s="434"/>
    </row>
    <row r="579">
      <c r="A579" s="434"/>
      <c r="B579" s="434"/>
      <c r="C579" s="434"/>
      <c r="D579" s="434"/>
      <c r="E579" s="434"/>
      <c r="F579" s="434"/>
      <c r="G579" s="434"/>
      <c r="H579" s="434"/>
      <c r="I579" s="434"/>
      <c r="J579" s="434"/>
      <c r="K579" s="434"/>
      <c r="L579" s="434"/>
      <c r="M579" s="434"/>
      <c r="N579" s="434"/>
      <c r="O579" s="434"/>
      <c r="P579" s="434"/>
      <c r="Q579" s="434"/>
      <c r="R579" s="434"/>
      <c r="S579" s="434"/>
      <c r="T579" s="434"/>
      <c r="U579" s="434"/>
    </row>
    <row r="580">
      <c r="A580" s="434"/>
      <c r="B580" s="434"/>
      <c r="C580" s="434"/>
      <c r="D580" s="434"/>
      <c r="E580" s="434"/>
      <c r="F580" s="434"/>
      <c r="G580" s="434"/>
      <c r="H580" s="434"/>
      <c r="I580" s="434"/>
      <c r="J580" s="434"/>
      <c r="K580" s="434"/>
      <c r="L580" s="434"/>
      <c r="M580" s="434"/>
      <c r="N580" s="434"/>
      <c r="O580" s="434"/>
      <c r="P580" s="434"/>
      <c r="Q580" s="434"/>
      <c r="R580" s="434"/>
      <c r="S580" s="434"/>
      <c r="T580" s="434"/>
      <c r="U580" s="434"/>
    </row>
    <row r="581">
      <c r="A581" s="434"/>
      <c r="B581" s="434"/>
      <c r="C581" s="434"/>
      <c r="D581" s="434"/>
      <c r="E581" s="434"/>
      <c r="F581" s="434"/>
      <c r="G581" s="434"/>
      <c r="H581" s="434"/>
      <c r="I581" s="434"/>
      <c r="J581" s="434"/>
      <c r="K581" s="434"/>
      <c r="L581" s="434"/>
      <c r="M581" s="434"/>
      <c r="N581" s="434"/>
      <c r="O581" s="434"/>
      <c r="P581" s="434"/>
      <c r="Q581" s="434"/>
      <c r="R581" s="434"/>
      <c r="S581" s="434"/>
      <c r="T581" s="434"/>
      <c r="U581" s="434"/>
    </row>
    <row r="582">
      <c r="A582" s="434"/>
      <c r="B582" s="434"/>
      <c r="C582" s="434"/>
      <c r="D582" s="434"/>
      <c r="E582" s="434"/>
      <c r="F582" s="434"/>
      <c r="G582" s="434"/>
      <c r="H582" s="434"/>
      <c r="I582" s="434"/>
      <c r="J582" s="434"/>
      <c r="K582" s="434"/>
      <c r="L582" s="434"/>
      <c r="M582" s="434"/>
      <c r="N582" s="434"/>
      <c r="O582" s="434"/>
      <c r="P582" s="434"/>
      <c r="Q582" s="434"/>
      <c r="R582" s="434"/>
      <c r="S582" s="434"/>
      <c r="T582" s="434"/>
      <c r="U582" s="434"/>
    </row>
    <row r="583">
      <c r="A583" s="434"/>
      <c r="B583" s="434"/>
      <c r="C583" s="434"/>
      <c r="D583" s="434"/>
      <c r="E583" s="434"/>
      <c r="F583" s="434"/>
      <c r="G583" s="434"/>
      <c r="H583" s="434"/>
      <c r="I583" s="434"/>
      <c r="J583" s="434"/>
      <c r="K583" s="434"/>
      <c r="L583" s="434"/>
      <c r="M583" s="434"/>
      <c r="N583" s="434"/>
      <c r="O583" s="434"/>
      <c r="P583" s="434"/>
      <c r="Q583" s="434"/>
      <c r="R583" s="434"/>
      <c r="S583" s="434"/>
      <c r="T583" s="434"/>
      <c r="U583" s="434"/>
    </row>
    <row r="584">
      <c r="A584" s="434"/>
      <c r="B584" s="434"/>
      <c r="C584" s="434"/>
      <c r="D584" s="434"/>
      <c r="E584" s="434"/>
      <c r="F584" s="434"/>
      <c r="G584" s="434"/>
      <c r="H584" s="434"/>
      <c r="I584" s="434"/>
      <c r="J584" s="434"/>
      <c r="K584" s="434"/>
      <c r="L584" s="434"/>
      <c r="M584" s="434"/>
      <c r="N584" s="434"/>
      <c r="O584" s="434"/>
      <c r="P584" s="434"/>
      <c r="Q584" s="434"/>
      <c r="R584" s="434"/>
      <c r="S584" s="434"/>
      <c r="T584" s="434"/>
      <c r="U584" s="434"/>
    </row>
    <row r="585">
      <c r="A585" s="434"/>
      <c r="B585" s="434"/>
      <c r="C585" s="434"/>
      <c r="D585" s="434"/>
      <c r="E585" s="434"/>
      <c r="F585" s="434"/>
      <c r="G585" s="434"/>
      <c r="H585" s="434"/>
      <c r="I585" s="434"/>
      <c r="J585" s="434"/>
      <c r="K585" s="434"/>
      <c r="L585" s="434"/>
      <c r="M585" s="434"/>
      <c r="N585" s="434"/>
      <c r="O585" s="434"/>
      <c r="P585" s="434"/>
      <c r="Q585" s="434"/>
      <c r="R585" s="434"/>
      <c r="S585" s="434"/>
      <c r="T585" s="434"/>
      <c r="U585" s="434"/>
    </row>
    <row r="586">
      <c r="A586" s="434"/>
      <c r="B586" s="434"/>
      <c r="C586" s="434"/>
      <c r="D586" s="434"/>
      <c r="E586" s="434"/>
      <c r="F586" s="434"/>
      <c r="G586" s="434"/>
      <c r="H586" s="434"/>
      <c r="I586" s="434"/>
      <c r="J586" s="434"/>
      <c r="K586" s="434"/>
      <c r="L586" s="434"/>
      <c r="M586" s="434"/>
      <c r="N586" s="434"/>
      <c r="O586" s="434"/>
      <c r="P586" s="434"/>
      <c r="Q586" s="434"/>
      <c r="R586" s="434"/>
      <c r="S586" s="434"/>
      <c r="T586" s="434"/>
      <c r="U586" s="434"/>
    </row>
    <row r="587">
      <c r="A587" s="434"/>
      <c r="B587" s="434"/>
      <c r="C587" s="434"/>
      <c r="D587" s="434"/>
      <c r="E587" s="434"/>
      <c r="F587" s="434"/>
      <c r="G587" s="434"/>
      <c r="H587" s="434"/>
      <c r="I587" s="434"/>
      <c r="J587" s="434"/>
      <c r="K587" s="434"/>
      <c r="L587" s="434"/>
      <c r="M587" s="434"/>
      <c r="N587" s="434"/>
      <c r="O587" s="434"/>
      <c r="P587" s="434"/>
      <c r="Q587" s="434"/>
      <c r="R587" s="434"/>
      <c r="S587" s="434"/>
      <c r="T587" s="434"/>
      <c r="U587" s="434"/>
    </row>
    <row r="588">
      <c r="A588" s="434"/>
      <c r="B588" s="434"/>
      <c r="C588" s="434"/>
      <c r="D588" s="434"/>
      <c r="E588" s="434"/>
      <c r="F588" s="434"/>
      <c r="G588" s="434"/>
      <c r="H588" s="434"/>
      <c r="I588" s="434"/>
      <c r="J588" s="434"/>
      <c r="K588" s="434"/>
      <c r="L588" s="434"/>
      <c r="M588" s="434"/>
      <c r="N588" s="434"/>
      <c r="O588" s="434"/>
      <c r="P588" s="434"/>
      <c r="Q588" s="434"/>
      <c r="R588" s="434"/>
      <c r="S588" s="434"/>
      <c r="T588" s="434"/>
      <c r="U588" s="434"/>
    </row>
    <row r="589">
      <c r="A589" s="434"/>
      <c r="B589" s="434"/>
      <c r="C589" s="434"/>
      <c r="D589" s="434"/>
      <c r="E589" s="434"/>
      <c r="F589" s="434"/>
      <c r="G589" s="434"/>
      <c r="H589" s="434"/>
      <c r="I589" s="434"/>
      <c r="J589" s="434"/>
      <c r="K589" s="434"/>
      <c r="L589" s="434"/>
      <c r="M589" s="434"/>
      <c r="N589" s="434"/>
      <c r="O589" s="434"/>
      <c r="P589" s="434"/>
      <c r="Q589" s="434"/>
      <c r="R589" s="434"/>
      <c r="S589" s="434"/>
      <c r="T589" s="434"/>
      <c r="U589" s="434"/>
    </row>
    <row r="590">
      <c r="A590" s="434"/>
      <c r="B590" s="434"/>
      <c r="C590" s="434"/>
      <c r="D590" s="434"/>
      <c r="E590" s="434"/>
      <c r="F590" s="434"/>
      <c r="G590" s="434"/>
      <c r="H590" s="434"/>
      <c r="I590" s="434"/>
      <c r="J590" s="434"/>
      <c r="K590" s="434"/>
      <c r="L590" s="434"/>
      <c r="M590" s="434"/>
      <c r="N590" s="434"/>
      <c r="O590" s="434"/>
      <c r="P590" s="434"/>
      <c r="Q590" s="434"/>
      <c r="R590" s="434"/>
      <c r="S590" s="434"/>
      <c r="T590" s="434"/>
      <c r="U590" s="434"/>
    </row>
    <row r="591">
      <c r="A591" s="434"/>
      <c r="B591" s="434"/>
      <c r="C591" s="434"/>
      <c r="D591" s="434"/>
      <c r="E591" s="434"/>
      <c r="F591" s="434"/>
      <c r="G591" s="434"/>
      <c r="H591" s="434"/>
      <c r="I591" s="434"/>
      <c r="J591" s="434"/>
      <c r="K591" s="434"/>
      <c r="L591" s="434"/>
      <c r="M591" s="434"/>
      <c r="N591" s="434"/>
      <c r="O591" s="434"/>
      <c r="P591" s="434"/>
      <c r="Q591" s="434"/>
      <c r="R591" s="434"/>
      <c r="S591" s="434"/>
      <c r="T591" s="434"/>
      <c r="U591" s="434"/>
    </row>
    <row r="592">
      <c r="A592" s="434"/>
      <c r="B592" s="434"/>
      <c r="C592" s="434"/>
      <c r="D592" s="434"/>
      <c r="E592" s="434"/>
      <c r="F592" s="434"/>
      <c r="G592" s="434"/>
      <c r="H592" s="434"/>
      <c r="I592" s="434"/>
      <c r="J592" s="434"/>
      <c r="K592" s="434"/>
      <c r="L592" s="434"/>
      <c r="M592" s="434"/>
      <c r="N592" s="434"/>
      <c r="O592" s="434"/>
      <c r="P592" s="434"/>
      <c r="Q592" s="434"/>
      <c r="R592" s="434"/>
      <c r="S592" s="434"/>
      <c r="T592" s="434"/>
      <c r="U592" s="434"/>
    </row>
    <row r="593">
      <c r="A593" s="434"/>
      <c r="B593" s="434"/>
      <c r="C593" s="434"/>
      <c r="D593" s="434"/>
      <c r="E593" s="434"/>
      <c r="F593" s="434"/>
      <c r="G593" s="434"/>
      <c r="H593" s="434"/>
      <c r="I593" s="434"/>
      <c r="J593" s="434"/>
      <c r="K593" s="434"/>
      <c r="L593" s="434"/>
      <c r="M593" s="434"/>
      <c r="N593" s="434"/>
      <c r="O593" s="434"/>
      <c r="P593" s="434"/>
      <c r="Q593" s="434"/>
      <c r="R593" s="434"/>
      <c r="S593" s="434"/>
      <c r="T593" s="434"/>
      <c r="U593" s="434"/>
    </row>
    <row r="594">
      <c r="A594" s="434"/>
      <c r="B594" s="434"/>
      <c r="C594" s="434"/>
      <c r="D594" s="434"/>
      <c r="E594" s="434"/>
      <c r="F594" s="434"/>
      <c r="G594" s="434"/>
      <c r="H594" s="434"/>
      <c r="I594" s="434"/>
      <c r="J594" s="434"/>
      <c r="K594" s="434"/>
      <c r="L594" s="434"/>
      <c r="M594" s="434"/>
      <c r="N594" s="434"/>
      <c r="O594" s="434"/>
      <c r="P594" s="434"/>
      <c r="Q594" s="434"/>
      <c r="R594" s="434"/>
      <c r="S594" s="434"/>
      <c r="T594" s="434"/>
      <c r="U594" s="434"/>
    </row>
    <row r="595">
      <c r="A595" s="434"/>
      <c r="B595" s="434"/>
      <c r="C595" s="434"/>
      <c r="D595" s="434"/>
      <c r="E595" s="434"/>
      <c r="F595" s="434"/>
      <c r="G595" s="434"/>
      <c r="H595" s="434"/>
      <c r="I595" s="434"/>
      <c r="J595" s="434"/>
      <c r="K595" s="434"/>
      <c r="L595" s="434"/>
      <c r="M595" s="434"/>
      <c r="N595" s="434"/>
      <c r="O595" s="434"/>
      <c r="P595" s="434"/>
      <c r="Q595" s="434"/>
      <c r="R595" s="434"/>
      <c r="S595" s="434"/>
      <c r="T595" s="434"/>
      <c r="U595" s="434"/>
    </row>
    <row r="596">
      <c r="A596" s="434"/>
      <c r="B596" s="434"/>
      <c r="C596" s="434"/>
      <c r="D596" s="434"/>
      <c r="E596" s="434"/>
      <c r="F596" s="434"/>
      <c r="G596" s="434"/>
      <c r="H596" s="434"/>
      <c r="I596" s="434"/>
      <c r="J596" s="434"/>
      <c r="K596" s="434"/>
      <c r="L596" s="434"/>
      <c r="M596" s="434"/>
      <c r="N596" s="434"/>
      <c r="O596" s="434"/>
      <c r="P596" s="434"/>
      <c r="Q596" s="434"/>
      <c r="R596" s="434"/>
      <c r="S596" s="434"/>
      <c r="T596" s="434"/>
      <c r="U596" s="434"/>
    </row>
    <row r="597">
      <c r="A597" s="434"/>
      <c r="B597" s="434"/>
      <c r="C597" s="434"/>
      <c r="D597" s="434"/>
      <c r="E597" s="434"/>
      <c r="F597" s="434"/>
      <c r="G597" s="434"/>
      <c r="H597" s="434"/>
      <c r="I597" s="434"/>
      <c r="J597" s="434"/>
      <c r="K597" s="434"/>
      <c r="L597" s="434"/>
      <c r="M597" s="434"/>
      <c r="N597" s="434"/>
      <c r="O597" s="434"/>
      <c r="P597" s="434"/>
      <c r="Q597" s="434"/>
      <c r="R597" s="434"/>
      <c r="S597" s="434"/>
      <c r="T597" s="434"/>
      <c r="U597" s="434"/>
    </row>
    <row r="598">
      <c r="A598" s="434"/>
      <c r="B598" s="434"/>
      <c r="C598" s="434"/>
      <c r="D598" s="434"/>
      <c r="E598" s="434"/>
      <c r="F598" s="434"/>
      <c r="G598" s="434"/>
      <c r="H598" s="434"/>
      <c r="I598" s="434"/>
      <c r="J598" s="434"/>
      <c r="K598" s="434"/>
      <c r="L598" s="434"/>
      <c r="M598" s="434"/>
      <c r="N598" s="434"/>
      <c r="O598" s="434"/>
      <c r="P598" s="434"/>
      <c r="Q598" s="434"/>
      <c r="R598" s="434"/>
      <c r="S598" s="434"/>
      <c r="T598" s="434"/>
      <c r="U598" s="434"/>
    </row>
    <row r="599">
      <c r="A599" s="434"/>
      <c r="B599" s="434"/>
      <c r="C599" s="434"/>
      <c r="D599" s="434"/>
      <c r="E599" s="434"/>
      <c r="F599" s="434"/>
      <c r="G599" s="434"/>
      <c r="H599" s="434"/>
      <c r="I599" s="434"/>
      <c r="J599" s="434"/>
      <c r="K599" s="434"/>
      <c r="L599" s="434"/>
      <c r="M599" s="434"/>
      <c r="N599" s="434"/>
      <c r="O599" s="434"/>
      <c r="P599" s="434"/>
      <c r="Q599" s="434"/>
      <c r="R599" s="434"/>
      <c r="S599" s="434"/>
      <c r="T599" s="434"/>
      <c r="U599" s="434"/>
    </row>
    <row r="600">
      <c r="A600" s="434"/>
      <c r="B600" s="434"/>
      <c r="C600" s="434"/>
      <c r="D600" s="434"/>
      <c r="E600" s="434"/>
      <c r="F600" s="434"/>
      <c r="G600" s="434"/>
      <c r="H600" s="434"/>
      <c r="I600" s="434"/>
      <c r="J600" s="434"/>
      <c r="K600" s="434"/>
      <c r="L600" s="434"/>
      <c r="M600" s="434"/>
      <c r="N600" s="434"/>
      <c r="O600" s="434"/>
      <c r="P600" s="434"/>
      <c r="Q600" s="434"/>
      <c r="R600" s="434"/>
      <c r="S600" s="434"/>
      <c r="T600" s="434"/>
      <c r="U600" s="434"/>
    </row>
    <row r="601">
      <c r="A601" s="434"/>
      <c r="B601" s="434"/>
      <c r="C601" s="434"/>
      <c r="D601" s="434"/>
      <c r="E601" s="434"/>
      <c r="F601" s="434"/>
      <c r="G601" s="434"/>
      <c r="H601" s="434"/>
      <c r="I601" s="434"/>
      <c r="J601" s="434"/>
      <c r="K601" s="434"/>
      <c r="L601" s="434"/>
      <c r="M601" s="434"/>
      <c r="N601" s="434"/>
      <c r="O601" s="434"/>
      <c r="P601" s="434"/>
      <c r="Q601" s="434"/>
      <c r="R601" s="434"/>
      <c r="S601" s="434"/>
      <c r="T601" s="434"/>
      <c r="U601" s="434"/>
    </row>
    <row r="602">
      <c r="A602" s="434"/>
      <c r="B602" s="434"/>
      <c r="C602" s="434"/>
      <c r="D602" s="434"/>
      <c r="E602" s="434"/>
      <c r="F602" s="434"/>
      <c r="G602" s="434"/>
      <c r="H602" s="434"/>
      <c r="I602" s="434"/>
      <c r="J602" s="434"/>
      <c r="K602" s="434"/>
      <c r="L602" s="434"/>
      <c r="M602" s="434"/>
      <c r="N602" s="434"/>
      <c r="O602" s="434"/>
      <c r="P602" s="434"/>
      <c r="Q602" s="434"/>
      <c r="R602" s="434"/>
      <c r="S602" s="434"/>
      <c r="T602" s="434"/>
      <c r="U602" s="434"/>
    </row>
    <row r="603">
      <c r="A603" s="434"/>
      <c r="B603" s="434"/>
      <c r="C603" s="434"/>
      <c r="D603" s="434"/>
      <c r="E603" s="434"/>
      <c r="F603" s="434"/>
      <c r="G603" s="434"/>
      <c r="H603" s="434"/>
      <c r="I603" s="434"/>
      <c r="J603" s="434"/>
      <c r="K603" s="434"/>
      <c r="L603" s="434"/>
      <c r="M603" s="434"/>
      <c r="N603" s="434"/>
      <c r="O603" s="434"/>
      <c r="P603" s="434"/>
      <c r="Q603" s="434"/>
      <c r="R603" s="434"/>
      <c r="S603" s="434"/>
      <c r="T603" s="434"/>
      <c r="U603" s="434"/>
    </row>
    <row r="604">
      <c r="A604" s="434"/>
      <c r="B604" s="434"/>
      <c r="C604" s="434"/>
      <c r="D604" s="434"/>
      <c r="E604" s="434"/>
      <c r="F604" s="434"/>
      <c r="G604" s="434"/>
      <c r="H604" s="434"/>
      <c r="I604" s="434"/>
      <c r="J604" s="434"/>
      <c r="K604" s="434"/>
      <c r="L604" s="434"/>
      <c r="M604" s="434"/>
      <c r="N604" s="434"/>
      <c r="O604" s="434"/>
      <c r="P604" s="434"/>
      <c r="Q604" s="434"/>
      <c r="R604" s="434"/>
      <c r="S604" s="434"/>
      <c r="T604" s="434"/>
      <c r="U604" s="434"/>
    </row>
    <row r="605">
      <c r="A605" s="434"/>
      <c r="B605" s="434"/>
      <c r="C605" s="434"/>
      <c r="D605" s="434"/>
      <c r="E605" s="434"/>
      <c r="F605" s="434"/>
      <c r="G605" s="434"/>
      <c r="H605" s="434"/>
      <c r="I605" s="434"/>
      <c r="J605" s="434"/>
      <c r="K605" s="434"/>
      <c r="L605" s="434"/>
      <c r="M605" s="434"/>
      <c r="N605" s="434"/>
      <c r="O605" s="434"/>
      <c r="P605" s="434"/>
      <c r="Q605" s="434"/>
      <c r="R605" s="434"/>
      <c r="S605" s="434"/>
      <c r="T605" s="434"/>
      <c r="U605" s="434"/>
    </row>
    <row r="606">
      <c r="A606" s="434"/>
      <c r="B606" s="434"/>
      <c r="C606" s="434"/>
      <c r="D606" s="434"/>
      <c r="E606" s="434"/>
      <c r="F606" s="434"/>
      <c r="G606" s="434"/>
      <c r="H606" s="434"/>
      <c r="I606" s="434"/>
      <c r="J606" s="434"/>
      <c r="K606" s="434"/>
      <c r="L606" s="434"/>
      <c r="M606" s="434"/>
      <c r="N606" s="434"/>
      <c r="O606" s="434"/>
      <c r="P606" s="434"/>
      <c r="Q606" s="434"/>
      <c r="R606" s="434"/>
      <c r="S606" s="434"/>
      <c r="T606" s="434"/>
      <c r="U606" s="434"/>
    </row>
    <row r="607">
      <c r="A607" s="434"/>
      <c r="B607" s="434"/>
      <c r="C607" s="434"/>
      <c r="D607" s="434"/>
      <c r="E607" s="434"/>
      <c r="F607" s="434"/>
      <c r="G607" s="434"/>
      <c r="H607" s="434"/>
      <c r="I607" s="434"/>
      <c r="J607" s="434"/>
      <c r="K607" s="434"/>
      <c r="L607" s="434"/>
      <c r="M607" s="434"/>
      <c r="N607" s="434"/>
      <c r="O607" s="434"/>
      <c r="P607" s="434"/>
      <c r="Q607" s="434"/>
      <c r="R607" s="434"/>
      <c r="S607" s="434"/>
      <c r="T607" s="434"/>
      <c r="U607" s="434"/>
    </row>
    <row r="608">
      <c r="A608" s="434"/>
      <c r="B608" s="434"/>
      <c r="C608" s="434"/>
      <c r="D608" s="434"/>
      <c r="E608" s="434"/>
      <c r="F608" s="434"/>
      <c r="G608" s="434"/>
      <c r="H608" s="434"/>
      <c r="I608" s="434"/>
      <c r="J608" s="434"/>
      <c r="K608" s="434"/>
      <c r="L608" s="434"/>
      <c r="M608" s="434"/>
      <c r="N608" s="434"/>
      <c r="O608" s="434"/>
      <c r="P608" s="434"/>
      <c r="Q608" s="434"/>
      <c r="R608" s="434"/>
      <c r="S608" s="434"/>
      <c r="T608" s="434"/>
      <c r="U608" s="434"/>
    </row>
    <row r="609">
      <c r="A609" s="434"/>
      <c r="B609" s="434"/>
      <c r="C609" s="434"/>
      <c r="D609" s="434"/>
      <c r="E609" s="434"/>
      <c r="F609" s="434"/>
      <c r="G609" s="434"/>
      <c r="H609" s="434"/>
      <c r="I609" s="434"/>
      <c r="J609" s="434"/>
      <c r="K609" s="434"/>
      <c r="L609" s="434"/>
      <c r="M609" s="434"/>
      <c r="N609" s="434"/>
      <c r="O609" s="434"/>
      <c r="P609" s="434"/>
      <c r="Q609" s="434"/>
      <c r="R609" s="434"/>
      <c r="S609" s="434"/>
      <c r="T609" s="434"/>
      <c r="U609" s="434"/>
    </row>
    <row r="610">
      <c r="A610" s="434"/>
      <c r="B610" s="434"/>
      <c r="C610" s="434"/>
      <c r="D610" s="434"/>
      <c r="E610" s="434"/>
      <c r="F610" s="434"/>
      <c r="G610" s="434"/>
      <c r="H610" s="434"/>
      <c r="I610" s="434"/>
      <c r="J610" s="434"/>
      <c r="K610" s="434"/>
      <c r="L610" s="434"/>
      <c r="M610" s="434"/>
      <c r="N610" s="434"/>
      <c r="O610" s="434"/>
      <c r="P610" s="434"/>
      <c r="Q610" s="434"/>
      <c r="R610" s="434"/>
      <c r="S610" s="434"/>
      <c r="T610" s="434"/>
      <c r="U610" s="434"/>
    </row>
    <row r="611">
      <c r="A611" s="434"/>
      <c r="B611" s="434"/>
      <c r="C611" s="434"/>
      <c r="D611" s="434"/>
      <c r="E611" s="434"/>
      <c r="F611" s="434"/>
      <c r="G611" s="434"/>
      <c r="H611" s="434"/>
      <c r="I611" s="434"/>
      <c r="J611" s="434"/>
      <c r="K611" s="434"/>
      <c r="L611" s="434"/>
      <c r="M611" s="434"/>
      <c r="N611" s="434"/>
      <c r="O611" s="434"/>
      <c r="P611" s="434"/>
      <c r="Q611" s="434"/>
      <c r="R611" s="434"/>
      <c r="S611" s="434"/>
      <c r="T611" s="434"/>
      <c r="U611" s="434"/>
    </row>
    <row r="612">
      <c r="A612" s="434"/>
      <c r="B612" s="434"/>
      <c r="C612" s="434"/>
      <c r="D612" s="434"/>
      <c r="E612" s="434"/>
      <c r="F612" s="434"/>
      <c r="G612" s="434"/>
      <c r="H612" s="434"/>
      <c r="I612" s="434"/>
      <c r="J612" s="434"/>
      <c r="K612" s="434"/>
      <c r="L612" s="434"/>
      <c r="M612" s="434"/>
      <c r="N612" s="434"/>
      <c r="O612" s="434"/>
      <c r="P612" s="434"/>
      <c r="Q612" s="434"/>
      <c r="R612" s="434"/>
      <c r="S612" s="434"/>
      <c r="T612" s="434"/>
      <c r="U612" s="434"/>
    </row>
    <row r="613">
      <c r="A613" s="434"/>
      <c r="B613" s="434"/>
      <c r="C613" s="434"/>
      <c r="D613" s="434"/>
      <c r="E613" s="434"/>
      <c r="F613" s="434"/>
      <c r="G613" s="434"/>
      <c r="H613" s="434"/>
      <c r="I613" s="434"/>
      <c r="J613" s="434"/>
      <c r="K613" s="434"/>
      <c r="L613" s="434"/>
      <c r="M613" s="434"/>
      <c r="N613" s="434"/>
      <c r="O613" s="434"/>
      <c r="P613" s="434"/>
      <c r="Q613" s="434"/>
      <c r="R613" s="434"/>
      <c r="S613" s="434"/>
      <c r="T613" s="434"/>
      <c r="U613" s="434"/>
    </row>
    <row r="614">
      <c r="A614" s="434"/>
      <c r="B614" s="434"/>
      <c r="C614" s="434"/>
      <c r="D614" s="434"/>
      <c r="E614" s="434"/>
      <c r="F614" s="434"/>
      <c r="G614" s="434"/>
      <c r="H614" s="434"/>
      <c r="I614" s="434"/>
      <c r="J614" s="434"/>
      <c r="K614" s="434"/>
      <c r="L614" s="434"/>
      <c r="M614" s="434"/>
      <c r="N614" s="434"/>
      <c r="O614" s="434"/>
      <c r="P614" s="434"/>
      <c r="Q614" s="434"/>
      <c r="R614" s="434"/>
      <c r="S614" s="434"/>
      <c r="T614" s="434"/>
      <c r="U614" s="434"/>
    </row>
    <row r="615">
      <c r="A615" s="434"/>
      <c r="B615" s="434"/>
      <c r="C615" s="434"/>
      <c r="D615" s="434"/>
      <c r="E615" s="434"/>
      <c r="F615" s="434"/>
      <c r="G615" s="434"/>
      <c r="H615" s="434"/>
      <c r="I615" s="434"/>
      <c r="J615" s="434"/>
      <c r="K615" s="434"/>
      <c r="L615" s="434"/>
      <c r="M615" s="434"/>
      <c r="N615" s="434"/>
      <c r="O615" s="434"/>
      <c r="P615" s="434"/>
      <c r="Q615" s="434"/>
      <c r="R615" s="434"/>
      <c r="S615" s="434"/>
      <c r="T615" s="434"/>
      <c r="U615" s="434"/>
    </row>
    <row r="616">
      <c r="A616" s="434"/>
      <c r="B616" s="434"/>
      <c r="C616" s="434"/>
      <c r="D616" s="434"/>
      <c r="E616" s="434"/>
      <c r="F616" s="434"/>
      <c r="G616" s="434"/>
      <c r="H616" s="434"/>
      <c r="I616" s="434"/>
      <c r="J616" s="434"/>
      <c r="K616" s="434"/>
      <c r="L616" s="434"/>
      <c r="M616" s="434"/>
      <c r="N616" s="434"/>
      <c r="O616" s="434"/>
      <c r="P616" s="434"/>
      <c r="Q616" s="434"/>
      <c r="R616" s="434"/>
      <c r="S616" s="434"/>
      <c r="T616" s="434"/>
      <c r="U616" s="434"/>
    </row>
    <row r="617">
      <c r="A617" s="434"/>
      <c r="B617" s="434"/>
      <c r="C617" s="434"/>
      <c r="D617" s="434"/>
      <c r="E617" s="434"/>
      <c r="F617" s="434"/>
      <c r="G617" s="434"/>
      <c r="H617" s="434"/>
      <c r="I617" s="434"/>
      <c r="J617" s="434"/>
      <c r="K617" s="434"/>
      <c r="L617" s="434"/>
      <c r="M617" s="434"/>
      <c r="N617" s="434"/>
      <c r="O617" s="434"/>
      <c r="P617" s="434"/>
      <c r="Q617" s="434"/>
      <c r="R617" s="434"/>
      <c r="S617" s="434"/>
      <c r="T617" s="434"/>
      <c r="U617" s="434"/>
    </row>
    <row r="618">
      <c r="A618" s="434"/>
      <c r="B618" s="434"/>
      <c r="C618" s="434"/>
      <c r="D618" s="434"/>
      <c r="E618" s="434"/>
      <c r="F618" s="434"/>
      <c r="G618" s="434"/>
      <c r="H618" s="434"/>
      <c r="I618" s="434"/>
      <c r="J618" s="434"/>
      <c r="K618" s="434"/>
      <c r="L618" s="434"/>
      <c r="M618" s="434"/>
      <c r="N618" s="434"/>
      <c r="O618" s="434"/>
      <c r="P618" s="434"/>
      <c r="Q618" s="434"/>
      <c r="R618" s="434"/>
      <c r="S618" s="434"/>
      <c r="T618" s="434"/>
      <c r="U618" s="434"/>
    </row>
    <row r="619">
      <c r="A619" s="434"/>
      <c r="B619" s="434"/>
      <c r="C619" s="434"/>
      <c r="D619" s="434"/>
      <c r="E619" s="434"/>
      <c r="F619" s="434"/>
      <c r="G619" s="434"/>
      <c r="H619" s="434"/>
      <c r="I619" s="434"/>
      <c r="J619" s="434"/>
      <c r="K619" s="434"/>
      <c r="L619" s="434"/>
      <c r="M619" s="434"/>
      <c r="N619" s="434"/>
      <c r="O619" s="434"/>
      <c r="P619" s="434"/>
      <c r="Q619" s="434"/>
      <c r="R619" s="434"/>
      <c r="S619" s="434"/>
      <c r="T619" s="434"/>
      <c r="U619" s="434"/>
    </row>
    <row r="620">
      <c r="A620" s="434"/>
      <c r="B620" s="434"/>
      <c r="C620" s="434"/>
      <c r="D620" s="434"/>
      <c r="E620" s="434"/>
      <c r="F620" s="434"/>
      <c r="G620" s="434"/>
      <c r="H620" s="434"/>
      <c r="I620" s="434"/>
      <c r="J620" s="434"/>
      <c r="K620" s="434"/>
      <c r="L620" s="434"/>
      <c r="M620" s="434"/>
      <c r="N620" s="434"/>
      <c r="O620" s="434"/>
      <c r="P620" s="434"/>
      <c r="Q620" s="434"/>
      <c r="R620" s="434"/>
      <c r="S620" s="434"/>
      <c r="T620" s="434"/>
      <c r="U620" s="434"/>
    </row>
    <row r="621">
      <c r="A621" s="434"/>
      <c r="B621" s="434"/>
      <c r="C621" s="434"/>
      <c r="D621" s="434"/>
      <c r="E621" s="434"/>
      <c r="F621" s="434"/>
      <c r="G621" s="434"/>
      <c r="H621" s="434"/>
      <c r="I621" s="434"/>
      <c r="J621" s="434"/>
      <c r="K621" s="434"/>
      <c r="L621" s="434"/>
      <c r="M621" s="434"/>
      <c r="N621" s="434"/>
      <c r="O621" s="434"/>
      <c r="P621" s="434"/>
      <c r="Q621" s="434"/>
      <c r="R621" s="434"/>
      <c r="S621" s="434"/>
      <c r="T621" s="434"/>
      <c r="U621" s="434"/>
    </row>
    <row r="622">
      <c r="A622" s="434"/>
      <c r="B622" s="434"/>
      <c r="C622" s="434"/>
      <c r="D622" s="434"/>
      <c r="E622" s="434"/>
      <c r="F622" s="434"/>
      <c r="G622" s="434"/>
      <c r="H622" s="434"/>
      <c r="I622" s="434"/>
      <c r="J622" s="434"/>
      <c r="K622" s="434"/>
      <c r="L622" s="434"/>
      <c r="M622" s="434"/>
      <c r="N622" s="434"/>
      <c r="O622" s="434"/>
      <c r="P622" s="434"/>
      <c r="Q622" s="434"/>
      <c r="R622" s="434"/>
      <c r="S622" s="434"/>
      <c r="T622" s="434"/>
      <c r="U622" s="434"/>
    </row>
    <row r="623">
      <c r="A623" s="434"/>
      <c r="B623" s="434"/>
      <c r="C623" s="434"/>
      <c r="D623" s="434"/>
      <c r="E623" s="434"/>
      <c r="F623" s="434"/>
      <c r="G623" s="434"/>
      <c r="H623" s="434"/>
      <c r="I623" s="434"/>
      <c r="J623" s="434"/>
      <c r="K623" s="434"/>
      <c r="L623" s="434"/>
      <c r="M623" s="434"/>
      <c r="N623" s="434"/>
      <c r="O623" s="434"/>
      <c r="P623" s="434"/>
      <c r="Q623" s="434"/>
      <c r="R623" s="434"/>
      <c r="S623" s="434"/>
      <c r="T623" s="434"/>
      <c r="U623" s="434"/>
    </row>
    <row r="624">
      <c r="A624" s="434"/>
      <c r="B624" s="434"/>
      <c r="C624" s="434"/>
      <c r="D624" s="434"/>
      <c r="E624" s="434"/>
      <c r="F624" s="434"/>
      <c r="G624" s="434"/>
      <c r="H624" s="434"/>
      <c r="I624" s="434"/>
      <c r="J624" s="434"/>
      <c r="K624" s="434"/>
      <c r="L624" s="434"/>
      <c r="M624" s="434"/>
      <c r="N624" s="434"/>
      <c r="O624" s="434"/>
      <c r="P624" s="434"/>
      <c r="Q624" s="434"/>
      <c r="R624" s="434"/>
      <c r="S624" s="434"/>
      <c r="T624" s="434"/>
      <c r="U624" s="434"/>
    </row>
    <row r="625">
      <c r="A625" s="434"/>
      <c r="B625" s="434"/>
      <c r="C625" s="434"/>
      <c r="D625" s="434"/>
      <c r="E625" s="434"/>
      <c r="F625" s="434"/>
      <c r="G625" s="434"/>
      <c r="H625" s="434"/>
      <c r="I625" s="434"/>
      <c r="J625" s="434"/>
      <c r="K625" s="434"/>
      <c r="L625" s="434"/>
      <c r="M625" s="434"/>
      <c r="N625" s="434"/>
      <c r="O625" s="434"/>
      <c r="P625" s="434"/>
      <c r="Q625" s="434"/>
      <c r="R625" s="434"/>
      <c r="S625" s="434"/>
      <c r="T625" s="434"/>
      <c r="U625" s="434"/>
    </row>
    <row r="626">
      <c r="A626" s="434"/>
      <c r="B626" s="434"/>
      <c r="C626" s="434"/>
      <c r="D626" s="434"/>
      <c r="E626" s="434"/>
      <c r="F626" s="434"/>
      <c r="G626" s="434"/>
      <c r="H626" s="434"/>
      <c r="I626" s="434"/>
      <c r="J626" s="434"/>
      <c r="K626" s="434"/>
      <c r="L626" s="434"/>
      <c r="M626" s="434"/>
      <c r="N626" s="434"/>
      <c r="O626" s="434"/>
      <c r="P626" s="434"/>
      <c r="Q626" s="434"/>
      <c r="R626" s="434"/>
      <c r="S626" s="434"/>
      <c r="T626" s="434"/>
      <c r="U626" s="434"/>
    </row>
    <row r="627">
      <c r="A627" s="434"/>
      <c r="B627" s="434"/>
      <c r="C627" s="434"/>
      <c r="D627" s="434"/>
      <c r="E627" s="434"/>
      <c r="F627" s="434"/>
      <c r="G627" s="434"/>
      <c r="H627" s="434"/>
      <c r="I627" s="434"/>
      <c r="J627" s="434"/>
      <c r="K627" s="434"/>
      <c r="L627" s="434"/>
      <c r="M627" s="434"/>
      <c r="N627" s="434"/>
      <c r="O627" s="434"/>
      <c r="P627" s="434"/>
      <c r="Q627" s="434"/>
      <c r="R627" s="434"/>
      <c r="S627" s="434"/>
      <c r="T627" s="434"/>
      <c r="U627" s="434"/>
    </row>
    <row r="628">
      <c r="A628" s="434"/>
      <c r="B628" s="434"/>
      <c r="C628" s="434"/>
      <c r="D628" s="434"/>
      <c r="E628" s="434"/>
      <c r="F628" s="434"/>
      <c r="G628" s="434"/>
      <c r="H628" s="434"/>
      <c r="I628" s="434"/>
      <c r="J628" s="434"/>
      <c r="K628" s="434"/>
      <c r="L628" s="434"/>
      <c r="M628" s="434"/>
      <c r="N628" s="434"/>
      <c r="O628" s="434"/>
      <c r="P628" s="434"/>
      <c r="Q628" s="434"/>
      <c r="R628" s="434"/>
      <c r="S628" s="434"/>
      <c r="T628" s="434"/>
      <c r="U628" s="434"/>
    </row>
    <row r="629">
      <c r="A629" s="434"/>
      <c r="B629" s="434"/>
      <c r="C629" s="434"/>
      <c r="D629" s="434"/>
      <c r="E629" s="434"/>
      <c r="F629" s="434"/>
      <c r="G629" s="434"/>
      <c r="H629" s="434"/>
      <c r="I629" s="434"/>
      <c r="J629" s="434"/>
      <c r="K629" s="434"/>
      <c r="L629" s="434"/>
      <c r="M629" s="434"/>
      <c r="N629" s="434"/>
      <c r="O629" s="434"/>
      <c r="P629" s="434"/>
      <c r="Q629" s="434"/>
      <c r="R629" s="434"/>
      <c r="S629" s="434"/>
      <c r="T629" s="434"/>
      <c r="U629" s="434"/>
    </row>
    <row r="630">
      <c r="A630" s="434"/>
      <c r="B630" s="434"/>
      <c r="C630" s="434"/>
      <c r="D630" s="434"/>
      <c r="E630" s="434"/>
      <c r="F630" s="434"/>
      <c r="G630" s="434"/>
      <c r="H630" s="434"/>
      <c r="I630" s="434"/>
      <c r="J630" s="434"/>
      <c r="K630" s="434"/>
      <c r="L630" s="434"/>
      <c r="M630" s="434"/>
      <c r="N630" s="434"/>
      <c r="O630" s="434"/>
      <c r="P630" s="434"/>
      <c r="Q630" s="434"/>
      <c r="R630" s="434"/>
      <c r="S630" s="434"/>
      <c r="T630" s="434"/>
      <c r="U630" s="434"/>
    </row>
    <row r="631">
      <c r="A631" s="434"/>
      <c r="B631" s="434"/>
      <c r="C631" s="434"/>
      <c r="D631" s="434"/>
      <c r="E631" s="434"/>
      <c r="F631" s="434"/>
      <c r="G631" s="434"/>
      <c r="H631" s="434"/>
      <c r="I631" s="434"/>
      <c r="J631" s="434"/>
      <c r="K631" s="434"/>
      <c r="L631" s="434"/>
      <c r="M631" s="434"/>
      <c r="N631" s="434"/>
      <c r="O631" s="434"/>
      <c r="P631" s="434"/>
      <c r="Q631" s="434"/>
      <c r="R631" s="434"/>
      <c r="S631" s="434"/>
      <c r="T631" s="434"/>
      <c r="U631" s="434"/>
    </row>
    <row r="632">
      <c r="A632" s="434"/>
      <c r="B632" s="434"/>
      <c r="C632" s="434"/>
      <c r="D632" s="434"/>
      <c r="E632" s="434"/>
      <c r="F632" s="434"/>
      <c r="G632" s="434"/>
      <c r="H632" s="434"/>
      <c r="I632" s="434"/>
      <c r="J632" s="434"/>
      <c r="K632" s="434"/>
      <c r="L632" s="434"/>
      <c r="M632" s="434"/>
      <c r="N632" s="434"/>
      <c r="O632" s="434"/>
      <c r="P632" s="434"/>
      <c r="Q632" s="434"/>
      <c r="R632" s="434"/>
      <c r="S632" s="434"/>
      <c r="T632" s="434"/>
      <c r="U632" s="434"/>
    </row>
    <row r="633">
      <c r="A633" s="434"/>
      <c r="B633" s="434"/>
      <c r="C633" s="434"/>
      <c r="D633" s="434"/>
      <c r="E633" s="434"/>
      <c r="F633" s="434"/>
      <c r="G633" s="434"/>
      <c r="H633" s="434"/>
      <c r="I633" s="434"/>
      <c r="J633" s="434"/>
      <c r="K633" s="434"/>
      <c r="L633" s="434"/>
      <c r="M633" s="434"/>
      <c r="N633" s="434"/>
      <c r="O633" s="434"/>
      <c r="P633" s="434"/>
      <c r="Q633" s="434"/>
      <c r="R633" s="434"/>
      <c r="S633" s="434"/>
      <c r="T633" s="434"/>
      <c r="U633" s="434"/>
    </row>
    <row r="634">
      <c r="A634" s="434"/>
      <c r="B634" s="434"/>
      <c r="C634" s="434"/>
      <c r="D634" s="434"/>
      <c r="E634" s="434"/>
      <c r="F634" s="434"/>
      <c r="G634" s="434"/>
      <c r="H634" s="434"/>
      <c r="I634" s="434"/>
      <c r="J634" s="434"/>
      <c r="K634" s="434"/>
      <c r="L634" s="434"/>
      <c r="M634" s="434"/>
      <c r="N634" s="434"/>
      <c r="O634" s="434"/>
      <c r="P634" s="434"/>
      <c r="Q634" s="434"/>
      <c r="R634" s="434"/>
      <c r="S634" s="434"/>
      <c r="T634" s="434"/>
      <c r="U634" s="434"/>
    </row>
    <row r="635">
      <c r="A635" s="434"/>
      <c r="B635" s="434"/>
      <c r="C635" s="434"/>
      <c r="D635" s="434"/>
      <c r="E635" s="434"/>
      <c r="F635" s="434"/>
      <c r="G635" s="434"/>
      <c r="H635" s="434"/>
      <c r="I635" s="434"/>
      <c r="J635" s="434"/>
      <c r="K635" s="434"/>
      <c r="L635" s="434"/>
      <c r="M635" s="434"/>
      <c r="N635" s="434"/>
      <c r="O635" s="434"/>
      <c r="P635" s="434"/>
      <c r="Q635" s="434"/>
      <c r="R635" s="434"/>
      <c r="S635" s="434"/>
      <c r="T635" s="434"/>
      <c r="U635" s="434"/>
    </row>
    <row r="636">
      <c r="A636" s="434"/>
      <c r="B636" s="434"/>
      <c r="C636" s="434"/>
      <c r="D636" s="434"/>
      <c r="E636" s="434"/>
      <c r="F636" s="434"/>
      <c r="G636" s="434"/>
      <c r="H636" s="434"/>
      <c r="I636" s="434"/>
      <c r="J636" s="434"/>
      <c r="K636" s="434"/>
      <c r="L636" s="434"/>
      <c r="M636" s="434"/>
      <c r="N636" s="434"/>
      <c r="O636" s="434"/>
      <c r="P636" s="434"/>
      <c r="Q636" s="434"/>
      <c r="R636" s="434"/>
      <c r="S636" s="434"/>
      <c r="T636" s="434"/>
      <c r="U636" s="434"/>
    </row>
    <row r="637">
      <c r="A637" s="434"/>
      <c r="B637" s="434"/>
      <c r="C637" s="434"/>
      <c r="D637" s="434"/>
      <c r="E637" s="434"/>
      <c r="F637" s="434"/>
      <c r="G637" s="434"/>
      <c r="H637" s="434"/>
      <c r="I637" s="434"/>
      <c r="J637" s="434"/>
      <c r="K637" s="434"/>
      <c r="L637" s="434"/>
      <c r="M637" s="434"/>
      <c r="N637" s="434"/>
      <c r="O637" s="434"/>
      <c r="P637" s="434"/>
      <c r="Q637" s="434"/>
      <c r="R637" s="434"/>
      <c r="S637" s="434"/>
      <c r="T637" s="434"/>
      <c r="U637" s="434"/>
    </row>
    <row r="638">
      <c r="A638" s="434"/>
      <c r="B638" s="434"/>
      <c r="C638" s="434"/>
      <c r="D638" s="434"/>
      <c r="E638" s="434"/>
      <c r="F638" s="434"/>
      <c r="G638" s="434"/>
      <c r="H638" s="434"/>
      <c r="I638" s="434"/>
      <c r="J638" s="434"/>
      <c r="K638" s="434"/>
      <c r="L638" s="434"/>
      <c r="M638" s="434"/>
      <c r="N638" s="434"/>
      <c r="O638" s="434"/>
      <c r="P638" s="434"/>
      <c r="Q638" s="434"/>
      <c r="R638" s="434"/>
      <c r="S638" s="434"/>
      <c r="T638" s="434"/>
      <c r="U638" s="434"/>
    </row>
    <row r="639">
      <c r="A639" s="434"/>
      <c r="B639" s="434"/>
      <c r="C639" s="434"/>
      <c r="D639" s="434"/>
      <c r="E639" s="434"/>
      <c r="F639" s="434"/>
      <c r="G639" s="434"/>
      <c r="H639" s="434"/>
      <c r="I639" s="434"/>
      <c r="J639" s="434"/>
      <c r="K639" s="434"/>
      <c r="L639" s="434"/>
      <c r="M639" s="434"/>
      <c r="N639" s="434"/>
      <c r="O639" s="434"/>
      <c r="P639" s="434"/>
      <c r="Q639" s="434"/>
      <c r="R639" s="434"/>
      <c r="S639" s="434"/>
      <c r="T639" s="434"/>
      <c r="U639" s="434"/>
    </row>
    <row r="640">
      <c r="A640" s="434"/>
      <c r="B640" s="434"/>
      <c r="C640" s="434"/>
      <c r="D640" s="434"/>
      <c r="E640" s="434"/>
      <c r="F640" s="434"/>
      <c r="G640" s="434"/>
      <c r="H640" s="434"/>
      <c r="I640" s="434"/>
      <c r="J640" s="434"/>
      <c r="K640" s="434"/>
      <c r="L640" s="434"/>
      <c r="M640" s="434"/>
      <c r="N640" s="434"/>
      <c r="O640" s="434"/>
      <c r="P640" s="434"/>
      <c r="Q640" s="434"/>
      <c r="R640" s="434"/>
      <c r="S640" s="434"/>
      <c r="T640" s="434"/>
      <c r="U640" s="434"/>
    </row>
    <row r="641">
      <c r="A641" s="434"/>
      <c r="B641" s="434"/>
      <c r="C641" s="434"/>
      <c r="D641" s="434"/>
      <c r="E641" s="434"/>
      <c r="F641" s="434"/>
      <c r="G641" s="434"/>
      <c r="H641" s="434"/>
      <c r="I641" s="434"/>
      <c r="J641" s="434"/>
      <c r="K641" s="434"/>
      <c r="L641" s="434"/>
      <c r="M641" s="434"/>
      <c r="N641" s="434"/>
      <c r="O641" s="434"/>
      <c r="P641" s="434"/>
      <c r="Q641" s="434"/>
      <c r="R641" s="434"/>
      <c r="S641" s="434"/>
      <c r="T641" s="434"/>
      <c r="U641" s="434"/>
    </row>
    <row r="642">
      <c r="A642" s="434"/>
      <c r="B642" s="434"/>
      <c r="C642" s="434"/>
      <c r="D642" s="434"/>
      <c r="E642" s="434"/>
      <c r="F642" s="434"/>
      <c r="G642" s="434"/>
      <c r="H642" s="434"/>
      <c r="I642" s="434"/>
      <c r="J642" s="434"/>
      <c r="K642" s="434"/>
      <c r="L642" s="434"/>
      <c r="M642" s="434"/>
      <c r="N642" s="434"/>
      <c r="O642" s="434"/>
      <c r="P642" s="434"/>
      <c r="Q642" s="434"/>
      <c r="R642" s="434"/>
      <c r="S642" s="434"/>
      <c r="T642" s="434"/>
      <c r="U642" s="434"/>
    </row>
    <row r="643">
      <c r="A643" s="434"/>
      <c r="B643" s="434"/>
      <c r="C643" s="434"/>
      <c r="D643" s="434"/>
      <c r="E643" s="434"/>
      <c r="F643" s="434"/>
      <c r="G643" s="434"/>
      <c r="H643" s="434"/>
      <c r="I643" s="434"/>
      <c r="J643" s="434"/>
      <c r="K643" s="434"/>
      <c r="L643" s="434"/>
      <c r="M643" s="434"/>
      <c r="N643" s="434"/>
      <c r="O643" s="434"/>
      <c r="P643" s="434"/>
      <c r="Q643" s="434"/>
      <c r="R643" s="434"/>
      <c r="S643" s="434"/>
      <c r="T643" s="434"/>
      <c r="U643" s="434"/>
    </row>
    <row r="644">
      <c r="A644" s="434"/>
      <c r="B644" s="434"/>
      <c r="C644" s="434"/>
      <c r="D644" s="434"/>
      <c r="E644" s="434"/>
      <c r="F644" s="434"/>
      <c r="G644" s="434"/>
      <c r="H644" s="434"/>
      <c r="I644" s="434"/>
      <c r="J644" s="434"/>
      <c r="K644" s="434"/>
      <c r="L644" s="434"/>
      <c r="M644" s="434"/>
      <c r="N644" s="434"/>
      <c r="O644" s="434"/>
      <c r="P644" s="434"/>
      <c r="Q644" s="434"/>
      <c r="R644" s="434"/>
      <c r="S644" s="434"/>
      <c r="T644" s="434"/>
      <c r="U644" s="434"/>
    </row>
    <row r="645">
      <c r="A645" s="434"/>
      <c r="B645" s="434"/>
      <c r="C645" s="434"/>
      <c r="D645" s="434"/>
      <c r="E645" s="434"/>
      <c r="F645" s="434"/>
      <c r="G645" s="434"/>
      <c r="H645" s="434"/>
      <c r="I645" s="434"/>
      <c r="J645" s="434"/>
      <c r="K645" s="434"/>
      <c r="L645" s="434"/>
      <c r="M645" s="434"/>
      <c r="N645" s="434"/>
      <c r="O645" s="434"/>
      <c r="P645" s="434"/>
      <c r="Q645" s="434"/>
      <c r="R645" s="434"/>
      <c r="S645" s="434"/>
      <c r="T645" s="434"/>
      <c r="U645" s="434"/>
    </row>
    <row r="646">
      <c r="A646" s="434"/>
      <c r="B646" s="434"/>
      <c r="C646" s="434"/>
      <c r="D646" s="434"/>
      <c r="E646" s="434"/>
      <c r="F646" s="434"/>
      <c r="G646" s="434"/>
      <c r="H646" s="434"/>
      <c r="I646" s="434"/>
      <c r="J646" s="434"/>
      <c r="K646" s="434"/>
      <c r="L646" s="434"/>
      <c r="M646" s="434"/>
      <c r="N646" s="434"/>
      <c r="O646" s="434"/>
      <c r="P646" s="434"/>
      <c r="Q646" s="434"/>
      <c r="R646" s="434"/>
      <c r="S646" s="434"/>
      <c r="T646" s="434"/>
      <c r="U646" s="434"/>
    </row>
    <row r="647">
      <c r="A647" s="434"/>
      <c r="B647" s="434"/>
      <c r="C647" s="434"/>
      <c r="D647" s="434"/>
      <c r="E647" s="434"/>
      <c r="F647" s="434"/>
      <c r="G647" s="434"/>
      <c r="H647" s="434"/>
      <c r="I647" s="434"/>
      <c r="J647" s="434"/>
      <c r="K647" s="434"/>
      <c r="L647" s="434"/>
      <c r="M647" s="434"/>
      <c r="N647" s="434"/>
      <c r="O647" s="434"/>
      <c r="P647" s="434"/>
      <c r="Q647" s="434"/>
      <c r="R647" s="434"/>
      <c r="S647" s="434"/>
      <c r="T647" s="434"/>
      <c r="U647" s="434"/>
    </row>
    <row r="648">
      <c r="A648" s="434"/>
      <c r="B648" s="434"/>
      <c r="C648" s="434"/>
      <c r="D648" s="434"/>
      <c r="E648" s="434"/>
      <c r="F648" s="434"/>
      <c r="G648" s="434"/>
      <c r="H648" s="434"/>
      <c r="I648" s="434"/>
      <c r="J648" s="434"/>
      <c r="K648" s="434"/>
      <c r="L648" s="434"/>
      <c r="M648" s="434"/>
      <c r="N648" s="434"/>
      <c r="O648" s="434"/>
      <c r="P648" s="434"/>
      <c r="Q648" s="434"/>
      <c r="R648" s="434"/>
      <c r="S648" s="434"/>
      <c r="T648" s="434"/>
      <c r="U648" s="434"/>
    </row>
    <row r="649">
      <c r="A649" s="434"/>
      <c r="B649" s="434"/>
      <c r="C649" s="434"/>
      <c r="D649" s="434"/>
      <c r="E649" s="434"/>
      <c r="F649" s="434"/>
      <c r="G649" s="434"/>
      <c r="H649" s="434"/>
      <c r="I649" s="434"/>
      <c r="J649" s="434"/>
      <c r="K649" s="434"/>
      <c r="L649" s="434"/>
      <c r="M649" s="434"/>
      <c r="N649" s="434"/>
      <c r="O649" s="434"/>
      <c r="P649" s="434"/>
      <c r="Q649" s="434"/>
      <c r="R649" s="434"/>
      <c r="S649" s="434"/>
      <c r="T649" s="434"/>
      <c r="U649" s="434"/>
    </row>
    <row r="650">
      <c r="A650" s="434"/>
      <c r="B650" s="434"/>
      <c r="C650" s="434"/>
      <c r="D650" s="434"/>
      <c r="E650" s="434"/>
      <c r="F650" s="434"/>
      <c r="G650" s="434"/>
      <c r="H650" s="434"/>
      <c r="I650" s="434"/>
      <c r="J650" s="434"/>
      <c r="K650" s="434"/>
      <c r="L650" s="434"/>
      <c r="M650" s="434"/>
      <c r="N650" s="434"/>
      <c r="O650" s="434"/>
      <c r="P650" s="434"/>
      <c r="Q650" s="434"/>
      <c r="R650" s="434"/>
      <c r="S650" s="434"/>
      <c r="T650" s="434"/>
      <c r="U650" s="434"/>
    </row>
    <row r="651">
      <c r="A651" s="434"/>
      <c r="B651" s="434"/>
      <c r="C651" s="434"/>
      <c r="D651" s="434"/>
      <c r="E651" s="434"/>
      <c r="F651" s="434"/>
      <c r="G651" s="434"/>
      <c r="H651" s="434"/>
      <c r="I651" s="434"/>
      <c r="J651" s="434"/>
      <c r="K651" s="434"/>
      <c r="L651" s="434"/>
      <c r="M651" s="434"/>
      <c r="N651" s="434"/>
      <c r="O651" s="434"/>
      <c r="P651" s="434"/>
      <c r="Q651" s="434"/>
      <c r="R651" s="434"/>
      <c r="S651" s="434"/>
      <c r="T651" s="434"/>
      <c r="U651" s="434"/>
    </row>
    <row r="652">
      <c r="A652" s="434"/>
      <c r="B652" s="434"/>
      <c r="C652" s="434"/>
      <c r="D652" s="434"/>
      <c r="E652" s="434"/>
      <c r="F652" s="434"/>
      <c r="G652" s="434"/>
      <c r="H652" s="434"/>
      <c r="I652" s="434"/>
      <c r="J652" s="434"/>
      <c r="K652" s="434"/>
      <c r="L652" s="434"/>
      <c r="M652" s="434"/>
      <c r="N652" s="434"/>
      <c r="O652" s="434"/>
      <c r="P652" s="434"/>
      <c r="Q652" s="434"/>
      <c r="R652" s="434"/>
      <c r="S652" s="434"/>
      <c r="T652" s="434"/>
      <c r="U652" s="434"/>
    </row>
    <row r="653">
      <c r="A653" s="434"/>
      <c r="B653" s="434"/>
      <c r="C653" s="434"/>
      <c r="D653" s="434"/>
      <c r="E653" s="434"/>
      <c r="F653" s="434"/>
      <c r="G653" s="434"/>
      <c r="H653" s="434"/>
      <c r="I653" s="434"/>
      <c r="J653" s="434"/>
      <c r="K653" s="434"/>
      <c r="L653" s="434"/>
      <c r="M653" s="434"/>
      <c r="N653" s="434"/>
      <c r="O653" s="434"/>
      <c r="P653" s="434"/>
      <c r="Q653" s="434"/>
      <c r="R653" s="434"/>
      <c r="S653" s="434"/>
      <c r="T653" s="434"/>
      <c r="U653" s="434"/>
    </row>
    <row r="654">
      <c r="A654" s="434"/>
      <c r="B654" s="434"/>
      <c r="C654" s="434"/>
      <c r="D654" s="434"/>
      <c r="E654" s="434"/>
      <c r="F654" s="434"/>
      <c r="G654" s="434"/>
      <c r="H654" s="434"/>
      <c r="I654" s="434"/>
      <c r="J654" s="434"/>
      <c r="K654" s="434"/>
      <c r="L654" s="434"/>
      <c r="M654" s="434"/>
      <c r="N654" s="434"/>
      <c r="O654" s="434"/>
      <c r="P654" s="434"/>
      <c r="Q654" s="434"/>
      <c r="R654" s="434"/>
      <c r="S654" s="434"/>
      <c r="T654" s="434"/>
      <c r="U654" s="434"/>
    </row>
    <row r="655">
      <c r="A655" s="434"/>
      <c r="B655" s="434"/>
      <c r="C655" s="434"/>
      <c r="D655" s="434"/>
      <c r="E655" s="434"/>
      <c r="F655" s="434"/>
      <c r="G655" s="434"/>
      <c r="H655" s="434"/>
      <c r="I655" s="434"/>
      <c r="J655" s="434"/>
      <c r="K655" s="434"/>
      <c r="L655" s="434"/>
      <c r="M655" s="434"/>
      <c r="N655" s="434"/>
      <c r="O655" s="434"/>
      <c r="P655" s="434"/>
      <c r="Q655" s="434"/>
      <c r="R655" s="434"/>
      <c r="S655" s="434"/>
      <c r="T655" s="434"/>
      <c r="U655" s="434"/>
    </row>
    <row r="656">
      <c r="A656" s="434"/>
      <c r="B656" s="434"/>
      <c r="C656" s="434"/>
      <c r="D656" s="434"/>
      <c r="E656" s="434"/>
      <c r="F656" s="434"/>
      <c r="G656" s="434"/>
      <c r="H656" s="434"/>
      <c r="I656" s="434"/>
      <c r="J656" s="434"/>
      <c r="K656" s="434"/>
      <c r="L656" s="434"/>
      <c r="M656" s="434"/>
      <c r="N656" s="434"/>
      <c r="O656" s="434"/>
      <c r="P656" s="434"/>
      <c r="Q656" s="434"/>
      <c r="R656" s="434"/>
      <c r="S656" s="434"/>
      <c r="T656" s="434"/>
      <c r="U656" s="434"/>
    </row>
    <row r="657">
      <c r="A657" s="434"/>
      <c r="B657" s="434"/>
      <c r="C657" s="434"/>
      <c r="D657" s="434"/>
      <c r="E657" s="434"/>
      <c r="F657" s="434"/>
      <c r="G657" s="434"/>
      <c r="H657" s="434"/>
      <c r="I657" s="434"/>
      <c r="J657" s="434"/>
      <c r="K657" s="434"/>
      <c r="L657" s="434"/>
      <c r="M657" s="434"/>
      <c r="N657" s="434"/>
      <c r="O657" s="434"/>
      <c r="P657" s="434"/>
      <c r="Q657" s="434"/>
      <c r="R657" s="434"/>
      <c r="S657" s="434"/>
      <c r="T657" s="434"/>
      <c r="U657" s="434"/>
    </row>
    <row r="658">
      <c r="A658" s="434"/>
      <c r="B658" s="434"/>
      <c r="C658" s="434"/>
      <c r="D658" s="434"/>
      <c r="E658" s="434"/>
      <c r="F658" s="434"/>
      <c r="G658" s="434"/>
      <c r="H658" s="434"/>
      <c r="I658" s="434"/>
      <c r="J658" s="434"/>
      <c r="K658" s="434"/>
      <c r="L658" s="434"/>
      <c r="M658" s="434"/>
      <c r="N658" s="434"/>
      <c r="O658" s="434"/>
      <c r="P658" s="434"/>
      <c r="Q658" s="434"/>
      <c r="R658" s="434"/>
      <c r="S658" s="434"/>
      <c r="T658" s="434"/>
      <c r="U658" s="434"/>
    </row>
    <row r="659">
      <c r="A659" s="434"/>
      <c r="B659" s="434"/>
      <c r="C659" s="434"/>
      <c r="D659" s="434"/>
      <c r="E659" s="434"/>
      <c r="F659" s="434"/>
      <c r="G659" s="434"/>
      <c r="H659" s="434"/>
      <c r="I659" s="434"/>
      <c r="J659" s="434"/>
      <c r="K659" s="434"/>
      <c r="L659" s="434"/>
      <c r="M659" s="434"/>
      <c r="N659" s="434"/>
      <c r="O659" s="434"/>
      <c r="P659" s="434"/>
      <c r="Q659" s="434"/>
      <c r="R659" s="434"/>
      <c r="S659" s="434"/>
      <c r="T659" s="434"/>
      <c r="U659" s="434"/>
    </row>
    <row r="660">
      <c r="A660" s="434"/>
      <c r="B660" s="434"/>
      <c r="C660" s="434"/>
      <c r="D660" s="434"/>
      <c r="E660" s="434"/>
      <c r="F660" s="434"/>
      <c r="G660" s="434"/>
      <c r="H660" s="434"/>
      <c r="I660" s="434"/>
      <c r="J660" s="434"/>
      <c r="K660" s="434"/>
      <c r="L660" s="434"/>
      <c r="M660" s="434"/>
      <c r="N660" s="434"/>
      <c r="O660" s="434"/>
      <c r="P660" s="434"/>
      <c r="Q660" s="434"/>
      <c r="R660" s="434"/>
      <c r="S660" s="434"/>
      <c r="T660" s="434"/>
      <c r="U660" s="434"/>
    </row>
    <row r="661">
      <c r="A661" s="434"/>
      <c r="B661" s="434"/>
      <c r="C661" s="434"/>
      <c r="D661" s="434"/>
      <c r="E661" s="434"/>
      <c r="F661" s="434"/>
      <c r="G661" s="434"/>
      <c r="H661" s="434"/>
      <c r="I661" s="434"/>
      <c r="J661" s="434"/>
      <c r="K661" s="434"/>
      <c r="L661" s="434"/>
      <c r="M661" s="434"/>
      <c r="N661" s="434"/>
      <c r="O661" s="434"/>
      <c r="P661" s="434"/>
      <c r="Q661" s="434"/>
      <c r="R661" s="434"/>
      <c r="S661" s="434"/>
      <c r="T661" s="434"/>
      <c r="U661" s="434"/>
    </row>
    <row r="662">
      <c r="A662" s="434"/>
      <c r="B662" s="434"/>
      <c r="C662" s="434"/>
      <c r="D662" s="434"/>
      <c r="E662" s="434"/>
      <c r="F662" s="434"/>
      <c r="G662" s="434"/>
      <c r="H662" s="434"/>
      <c r="I662" s="434"/>
      <c r="J662" s="434"/>
      <c r="K662" s="434"/>
      <c r="L662" s="434"/>
      <c r="M662" s="434"/>
      <c r="N662" s="434"/>
      <c r="O662" s="434"/>
      <c r="P662" s="434"/>
      <c r="Q662" s="434"/>
      <c r="R662" s="434"/>
      <c r="S662" s="434"/>
      <c r="T662" s="434"/>
      <c r="U662" s="434"/>
    </row>
    <row r="663">
      <c r="A663" s="434"/>
      <c r="B663" s="434"/>
      <c r="C663" s="434"/>
      <c r="D663" s="434"/>
      <c r="E663" s="434"/>
      <c r="F663" s="434"/>
      <c r="G663" s="434"/>
      <c r="H663" s="434"/>
      <c r="I663" s="434"/>
      <c r="J663" s="434"/>
      <c r="K663" s="434"/>
      <c r="L663" s="434"/>
      <c r="M663" s="434"/>
      <c r="N663" s="434"/>
      <c r="O663" s="434"/>
      <c r="P663" s="434"/>
      <c r="Q663" s="434"/>
      <c r="R663" s="434"/>
      <c r="S663" s="434"/>
      <c r="T663" s="434"/>
      <c r="U663" s="434"/>
    </row>
    <row r="664">
      <c r="A664" s="434"/>
      <c r="B664" s="434"/>
      <c r="C664" s="434"/>
      <c r="D664" s="434"/>
      <c r="E664" s="434"/>
      <c r="F664" s="434"/>
      <c r="G664" s="434"/>
      <c r="H664" s="434"/>
      <c r="I664" s="434"/>
      <c r="J664" s="434"/>
      <c r="K664" s="434"/>
      <c r="L664" s="434"/>
      <c r="M664" s="434"/>
      <c r="N664" s="434"/>
      <c r="O664" s="434"/>
      <c r="P664" s="434"/>
      <c r="Q664" s="434"/>
      <c r="R664" s="434"/>
      <c r="S664" s="434"/>
      <c r="T664" s="434"/>
      <c r="U664" s="434"/>
    </row>
    <row r="665">
      <c r="A665" s="434"/>
      <c r="B665" s="434"/>
      <c r="C665" s="434"/>
      <c r="D665" s="434"/>
      <c r="E665" s="434"/>
      <c r="F665" s="434"/>
      <c r="G665" s="434"/>
      <c r="H665" s="434"/>
      <c r="I665" s="434"/>
      <c r="J665" s="434"/>
      <c r="K665" s="434"/>
      <c r="L665" s="434"/>
      <c r="M665" s="434"/>
      <c r="N665" s="434"/>
      <c r="O665" s="434"/>
      <c r="P665" s="434"/>
      <c r="Q665" s="434"/>
      <c r="R665" s="434"/>
      <c r="S665" s="434"/>
      <c r="T665" s="434"/>
      <c r="U665" s="434"/>
    </row>
    <row r="666">
      <c r="A666" s="434"/>
      <c r="B666" s="434"/>
      <c r="C666" s="434"/>
      <c r="D666" s="434"/>
      <c r="E666" s="434"/>
      <c r="F666" s="434"/>
      <c r="G666" s="434"/>
      <c r="H666" s="434"/>
      <c r="I666" s="434"/>
      <c r="J666" s="434"/>
      <c r="K666" s="434"/>
      <c r="L666" s="434"/>
      <c r="M666" s="434"/>
      <c r="N666" s="434"/>
      <c r="O666" s="434"/>
      <c r="P666" s="434"/>
      <c r="Q666" s="434"/>
      <c r="R666" s="434"/>
      <c r="S666" s="434"/>
      <c r="T666" s="434"/>
      <c r="U666" s="434"/>
    </row>
    <row r="667">
      <c r="A667" s="434"/>
      <c r="B667" s="434"/>
      <c r="C667" s="434"/>
      <c r="D667" s="434"/>
      <c r="E667" s="434"/>
      <c r="F667" s="434"/>
      <c r="G667" s="434"/>
      <c r="H667" s="434"/>
      <c r="I667" s="434"/>
      <c r="J667" s="434"/>
      <c r="K667" s="434"/>
      <c r="L667" s="434"/>
      <c r="M667" s="434"/>
      <c r="N667" s="434"/>
      <c r="O667" s="434"/>
      <c r="P667" s="434"/>
      <c r="Q667" s="434"/>
      <c r="R667" s="434"/>
      <c r="S667" s="434"/>
      <c r="T667" s="434"/>
      <c r="U667" s="434"/>
    </row>
    <row r="668">
      <c r="A668" s="434"/>
      <c r="B668" s="434"/>
      <c r="C668" s="434"/>
      <c r="D668" s="434"/>
      <c r="E668" s="434"/>
      <c r="F668" s="434"/>
      <c r="G668" s="434"/>
      <c r="H668" s="434"/>
      <c r="I668" s="434"/>
      <c r="J668" s="434"/>
      <c r="K668" s="434"/>
      <c r="L668" s="434"/>
      <c r="M668" s="434"/>
      <c r="N668" s="434"/>
      <c r="O668" s="434"/>
      <c r="P668" s="434"/>
      <c r="Q668" s="434"/>
      <c r="R668" s="434"/>
      <c r="S668" s="434"/>
      <c r="T668" s="434"/>
      <c r="U668" s="434"/>
    </row>
    <row r="669">
      <c r="A669" s="434"/>
      <c r="B669" s="434"/>
      <c r="C669" s="434"/>
      <c r="D669" s="434"/>
      <c r="E669" s="434"/>
      <c r="F669" s="434"/>
      <c r="G669" s="434"/>
      <c r="H669" s="434"/>
      <c r="I669" s="434"/>
      <c r="J669" s="434"/>
      <c r="K669" s="434"/>
      <c r="L669" s="434"/>
      <c r="M669" s="434"/>
      <c r="N669" s="434"/>
      <c r="O669" s="434"/>
      <c r="P669" s="434"/>
      <c r="Q669" s="434"/>
      <c r="R669" s="434"/>
      <c r="S669" s="434"/>
      <c r="T669" s="434"/>
      <c r="U669" s="434"/>
    </row>
    <row r="670">
      <c r="A670" s="434"/>
      <c r="B670" s="434"/>
      <c r="C670" s="434"/>
      <c r="D670" s="434"/>
      <c r="E670" s="434"/>
      <c r="F670" s="434"/>
      <c r="G670" s="434"/>
      <c r="H670" s="434"/>
      <c r="I670" s="434"/>
      <c r="J670" s="434"/>
      <c r="K670" s="434"/>
      <c r="L670" s="434"/>
      <c r="M670" s="434"/>
      <c r="N670" s="434"/>
      <c r="O670" s="434"/>
      <c r="P670" s="434"/>
      <c r="Q670" s="434"/>
      <c r="R670" s="434"/>
      <c r="S670" s="434"/>
      <c r="T670" s="434"/>
      <c r="U670" s="434"/>
    </row>
    <row r="671">
      <c r="A671" s="434"/>
      <c r="B671" s="434"/>
      <c r="C671" s="434"/>
      <c r="D671" s="434"/>
      <c r="E671" s="434"/>
      <c r="F671" s="434"/>
      <c r="G671" s="434"/>
      <c r="H671" s="434"/>
      <c r="I671" s="434"/>
      <c r="J671" s="434"/>
      <c r="K671" s="434"/>
      <c r="L671" s="434"/>
      <c r="M671" s="434"/>
      <c r="N671" s="434"/>
      <c r="O671" s="434"/>
      <c r="P671" s="434"/>
      <c r="Q671" s="434"/>
      <c r="R671" s="434"/>
      <c r="S671" s="434"/>
      <c r="T671" s="434"/>
      <c r="U671" s="434"/>
    </row>
    <row r="672">
      <c r="A672" s="434"/>
      <c r="B672" s="434"/>
      <c r="C672" s="434"/>
      <c r="D672" s="434"/>
      <c r="E672" s="434"/>
      <c r="F672" s="434"/>
      <c r="G672" s="434"/>
      <c r="H672" s="434"/>
      <c r="I672" s="434"/>
      <c r="J672" s="434"/>
      <c r="K672" s="434"/>
      <c r="L672" s="434"/>
      <c r="M672" s="434"/>
      <c r="N672" s="434"/>
      <c r="O672" s="434"/>
      <c r="P672" s="434"/>
      <c r="Q672" s="434"/>
      <c r="R672" s="434"/>
      <c r="S672" s="434"/>
      <c r="T672" s="434"/>
      <c r="U672" s="434"/>
    </row>
    <row r="673">
      <c r="A673" s="434"/>
      <c r="B673" s="434"/>
      <c r="C673" s="434"/>
      <c r="D673" s="434"/>
      <c r="E673" s="434"/>
      <c r="F673" s="434"/>
      <c r="G673" s="434"/>
      <c r="H673" s="434"/>
      <c r="I673" s="434"/>
      <c r="J673" s="434"/>
      <c r="K673" s="434"/>
      <c r="L673" s="434"/>
      <c r="M673" s="434"/>
      <c r="N673" s="434"/>
      <c r="O673" s="434"/>
      <c r="P673" s="434"/>
      <c r="Q673" s="434"/>
      <c r="R673" s="434"/>
      <c r="S673" s="434"/>
      <c r="T673" s="434"/>
      <c r="U673" s="434"/>
    </row>
    <row r="674">
      <c r="A674" s="434"/>
      <c r="B674" s="434"/>
      <c r="C674" s="434"/>
      <c r="D674" s="434"/>
      <c r="E674" s="434"/>
      <c r="F674" s="434"/>
      <c r="G674" s="434"/>
      <c r="H674" s="434"/>
      <c r="I674" s="434"/>
      <c r="J674" s="434"/>
      <c r="K674" s="434"/>
      <c r="L674" s="434"/>
      <c r="M674" s="434"/>
      <c r="N674" s="434"/>
      <c r="O674" s="434"/>
      <c r="P674" s="434"/>
      <c r="Q674" s="434"/>
      <c r="R674" s="434"/>
      <c r="S674" s="434"/>
      <c r="T674" s="434"/>
      <c r="U674" s="434"/>
    </row>
    <row r="675">
      <c r="A675" s="434"/>
      <c r="B675" s="434"/>
      <c r="C675" s="434"/>
      <c r="D675" s="434"/>
      <c r="E675" s="434"/>
      <c r="F675" s="434"/>
      <c r="G675" s="434"/>
      <c r="H675" s="434"/>
      <c r="I675" s="434"/>
      <c r="J675" s="434"/>
      <c r="K675" s="434"/>
      <c r="L675" s="434"/>
      <c r="M675" s="434"/>
      <c r="N675" s="434"/>
      <c r="O675" s="434"/>
      <c r="P675" s="434"/>
      <c r="Q675" s="434"/>
      <c r="R675" s="434"/>
      <c r="S675" s="434"/>
      <c r="T675" s="434"/>
      <c r="U675" s="434"/>
    </row>
    <row r="676">
      <c r="A676" s="434"/>
      <c r="B676" s="434"/>
      <c r="C676" s="434"/>
      <c r="D676" s="434"/>
      <c r="E676" s="434"/>
      <c r="F676" s="434"/>
      <c r="G676" s="434"/>
      <c r="H676" s="434"/>
      <c r="I676" s="434"/>
      <c r="J676" s="434"/>
      <c r="K676" s="434"/>
      <c r="L676" s="434"/>
      <c r="M676" s="434"/>
      <c r="N676" s="434"/>
      <c r="O676" s="434"/>
      <c r="P676" s="434"/>
      <c r="Q676" s="434"/>
      <c r="R676" s="434"/>
      <c r="S676" s="434"/>
      <c r="T676" s="434"/>
      <c r="U676" s="434"/>
    </row>
    <row r="677">
      <c r="A677" s="434"/>
      <c r="B677" s="434"/>
      <c r="C677" s="434"/>
      <c r="D677" s="434"/>
      <c r="E677" s="434"/>
      <c r="F677" s="434"/>
      <c r="G677" s="434"/>
      <c r="H677" s="434"/>
      <c r="I677" s="434"/>
      <c r="J677" s="434"/>
      <c r="K677" s="434"/>
      <c r="L677" s="434"/>
      <c r="M677" s="434"/>
      <c r="N677" s="434"/>
      <c r="O677" s="434"/>
      <c r="P677" s="434"/>
      <c r="Q677" s="434"/>
      <c r="R677" s="434"/>
      <c r="S677" s="434"/>
      <c r="T677" s="434"/>
      <c r="U677" s="434"/>
    </row>
    <row r="678">
      <c r="A678" s="434"/>
      <c r="B678" s="434"/>
      <c r="C678" s="434"/>
      <c r="D678" s="434"/>
      <c r="E678" s="434"/>
      <c r="F678" s="434"/>
      <c r="G678" s="434"/>
      <c r="H678" s="434"/>
      <c r="I678" s="434"/>
      <c r="J678" s="434"/>
      <c r="K678" s="434"/>
      <c r="L678" s="434"/>
      <c r="M678" s="434"/>
      <c r="N678" s="434"/>
      <c r="O678" s="434"/>
      <c r="P678" s="434"/>
      <c r="Q678" s="434"/>
      <c r="R678" s="434"/>
      <c r="S678" s="434"/>
      <c r="T678" s="434"/>
      <c r="U678" s="434"/>
    </row>
    <row r="679">
      <c r="A679" s="434"/>
      <c r="B679" s="434"/>
      <c r="C679" s="434"/>
      <c r="D679" s="434"/>
      <c r="E679" s="434"/>
      <c r="F679" s="434"/>
      <c r="G679" s="434"/>
      <c r="H679" s="434"/>
      <c r="I679" s="434"/>
      <c r="J679" s="434"/>
      <c r="K679" s="434"/>
      <c r="L679" s="434"/>
      <c r="M679" s="434"/>
      <c r="N679" s="434"/>
      <c r="O679" s="434"/>
      <c r="P679" s="434"/>
      <c r="Q679" s="434"/>
      <c r="R679" s="434"/>
      <c r="S679" s="434"/>
      <c r="T679" s="434"/>
      <c r="U679" s="434"/>
    </row>
    <row r="680">
      <c r="A680" s="434"/>
      <c r="B680" s="434"/>
      <c r="C680" s="434"/>
      <c r="D680" s="434"/>
      <c r="E680" s="434"/>
      <c r="F680" s="434"/>
      <c r="G680" s="434"/>
      <c r="H680" s="434"/>
      <c r="I680" s="434"/>
      <c r="J680" s="434"/>
      <c r="K680" s="434"/>
      <c r="L680" s="434"/>
      <c r="M680" s="434"/>
      <c r="N680" s="434"/>
      <c r="O680" s="434"/>
      <c r="P680" s="434"/>
      <c r="Q680" s="434"/>
      <c r="R680" s="434"/>
      <c r="S680" s="434"/>
      <c r="T680" s="434"/>
      <c r="U680" s="434"/>
    </row>
    <row r="681">
      <c r="A681" s="434"/>
      <c r="B681" s="434"/>
      <c r="C681" s="434"/>
      <c r="D681" s="434"/>
      <c r="E681" s="434"/>
      <c r="F681" s="434"/>
      <c r="G681" s="434"/>
      <c r="H681" s="434"/>
      <c r="I681" s="434"/>
      <c r="J681" s="434"/>
      <c r="K681" s="434"/>
      <c r="L681" s="434"/>
      <c r="M681" s="434"/>
      <c r="N681" s="434"/>
      <c r="O681" s="434"/>
      <c r="P681" s="434"/>
      <c r="Q681" s="434"/>
      <c r="R681" s="434"/>
      <c r="S681" s="434"/>
      <c r="T681" s="434"/>
      <c r="U681" s="434"/>
    </row>
    <row r="682">
      <c r="A682" s="434"/>
      <c r="B682" s="434"/>
      <c r="C682" s="434"/>
      <c r="D682" s="434"/>
      <c r="E682" s="434"/>
      <c r="F682" s="434"/>
      <c r="G682" s="434"/>
      <c r="H682" s="434"/>
      <c r="I682" s="434"/>
      <c r="J682" s="434"/>
      <c r="K682" s="434"/>
      <c r="L682" s="434"/>
      <c r="M682" s="434"/>
      <c r="N682" s="434"/>
      <c r="O682" s="434"/>
      <c r="P682" s="434"/>
      <c r="Q682" s="434"/>
      <c r="R682" s="434"/>
      <c r="S682" s="434"/>
      <c r="T682" s="434"/>
      <c r="U682" s="434"/>
    </row>
    <row r="683">
      <c r="A683" s="434"/>
      <c r="B683" s="434"/>
      <c r="C683" s="434"/>
      <c r="D683" s="434"/>
      <c r="E683" s="434"/>
      <c r="F683" s="434"/>
      <c r="G683" s="434"/>
      <c r="H683" s="434"/>
      <c r="I683" s="434"/>
      <c r="J683" s="434"/>
      <c r="K683" s="434"/>
      <c r="L683" s="434"/>
      <c r="M683" s="434"/>
      <c r="N683" s="434"/>
      <c r="O683" s="434"/>
      <c r="P683" s="434"/>
      <c r="Q683" s="434"/>
      <c r="R683" s="434"/>
      <c r="S683" s="434"/>
      <c r="T683" s="434"/>
      <c r="U683" s="434"/>
    </row>
    <row r="684">
      <c r="A684" s="434"/>
      <c r="B684" s="434"/>
      <c r="C684" s="434"/>
      <c r="D684" s="434"/>
      <c r="E684" s="434"/>
      <c r="F684" s="434"/>
      <c r="G684" s="434"/>
      <c r="H684" s="434"/>
      <c r="I684" s="434"/>
      <c r="J684" s="434"/>
      <c r="K684" s="434"/>
      <c r="L684" s="434"/>
      <c r="M684" s="434"/>
      <c r="N684" s="434"/>
      <c r="O684" s="434"/>
      <c r="P684" s="434"/>
      <c r="Q684" s="434"/>
      <c r="R684" s="434"/>
      <c r="S684" s="434"/>
      <c r="T684" s="434"/>
      <c r="U684" s="434"/>
    </row>
    <row r="685">
      <c r="A685" s="434"/>
      <c r="B685" s="434"/>
      <c r="C685" s="434"/>
      <c r="D685" s="434"/>
      <c r="E685" s="434"/>
      <c r="F685" s="434"/>
      <c r="G685" s="434"/>
      <c r="H685" s="434"/>
      <c r="I685" s="434"/>
      <c r="J685" s="434"/>
      <c r="K685" s="434"/>
      <c r="L685" s="434"/>
      <c r="M685" s="434"/>
      <c r="N685" s="434"/>
      <c r="O685" s="434"/>
      <c r="P685" s="434"/>
      <c r="Q685" s="434"/>
      <c r="R685" s="434"/>
      <c r="S685" s="434"/>
      <c r="T685" s="434"/>
      <c r="U685" s="434"/>
    </row>
    <row r="686">
      <c r="A686" s="434"/>
      <c r="B686" s="434"/>
      <c r="C686" s="434"/>
      <c r="D686" s="434"/>
      <c r="E686" s="434"/>
      <c r="F686" s="434"/>
      <c r="G686" s="434"/>
      <c r="H686" s="434"/>
      <c r="I686" s="434"/>
      <c r="J686" s="434"/>
      <c r="K686" s="434"/>
      <c r="L686" s="434"/>
      <c r="M686" s="434"/>
      <c r="N686" s="434"/>
      <c r="O686" s="434"/>
      <c r="P686" s="434"/>
      <c r="Q686" s="434"/>
      <c r="R686" s="434"/>
      <c r="S686" s="434"/>
      <c r="T686" s="434"/>
      <c r="U686" s="434"/>
    </row>
    <row r="687">
      <c r="A687" s="434"/>
      <c r="B687" s="434"/>
      <c r="C687" s="434"/>
      <c r="D687" s="434"/>
      <c r="E687" s="434"/>
      <c r="F687" s="434"/>
      <c r="G687" s="434"/>
      <c r="H687" s="434"/>
      <c r="I687" s="434"/>
      <c r="J687" s="434"/>
      <c r="K687" s="434"/>
      <c r="L687" s="434"/>
      <c r="M687" s="434"/>
      <c r="N687" s="434"/>
      <c r="O687" s="434"/>
      <c r="P687" s="434"/>
      <c r="Q687" s="434"/>
      <c r="R687" s="434"/>
      <c r="S687" s="434"/>
      <c r="T687" s="434"/>
      <c r="U687" s="434"/>
    </row>
    <row r="688">
      <c r="A688" s="434"/>
      <c r="B688" s="434"/>
      <c r="C688" s="434"/>
      <c r="D688" s="434"/>
      <c r="E688" s="434"/>
      <c r="F688" s="434"/>
      <c r="G688" s="434"/>
      <c r="H688" s="434"/>
      <c r="I688" s="434"/>
      <c r="J688" s="434"/>
      <c r="K688" s="434"/>
      <c r="L688" s="434"/>
      <c r="M688" s="434"/>
      <c r="N688" s="434"/>
      <c r="O688" s="434"/>
      <c r="P688" s="434"/>
      <c r="Q688" s="434"/>
      <c r="R688" s="434"/>
      <c r="S688" s="434"/>
      <c r="T688" s="434"/>
      <c r="U688" s="434"/>
    </row>
    <row r="689">
      <c r="A689" s="434"/>
      <c r="B689" s="434"/>
      <c r="C689" s="434"/>
      <c r="D689" s="434"/>
      <c r="E689" s="434"/>
      <c r="F689" s="434"/>
      <c r="G689" s="434"/>
      <c r="H689" s="434"/>
      <c r="I689" s="434"/>
      <c r="J689" s="434"/>
      <c r="K689" s="434"/>
      <c r="L689" s="434"/>
      <c r="M689" s="434"/>
      <c r="N689" s="434"/>
      <c r="O689" s="434"/>
      <c r="P689" s="434"/>
      <c r="Q689" s="434"/>
      <c r="R689" s="434"/>
      <c r="S689" s="434"/>
      <c r="T689" s="434"/>
      <c r="U689" s="434"/>
    </row>
    <row r="690">
      <c r="A690" s="434"/>
      <c r="B690" s="434"/>
      <c r="C690" s="434"/>
      <c r="D690" s="434"/>
      <c r="E690" s="434"/>
      <c r="F690" s="434"/>
      <c r="G690" s="434"/>
      <c r="H690" s="434"/>
      <c r="I690" s="434"/>
      <c r="J690" s="434"/>
      <c r="K690" s="434"/>
      <c r="L690" s="434"/>
      <c r="M690" s="434"/>
      <c r="N690" s="434"/>
      <c r="O690" s="434"/>
      <c r="P690" s="434"/>
      <c r="Q690" s="434"/>
      <c r="R690" s="434"/>
      <c r="S690" s="434"/>
      <c r="T690" s="434"/>
      <c r="U690" s="434"/>
    </row>
    <row r="691">
      <c r="A691" s="434"/>
      <c r="B691" s="434"/>
      <c r="C691" s="434"/>
      <c r="D691" s="434"/>
      <c r="E691" s="434"/>
      <c r="F691" s="434"/>
      <c r="G691" s="434"/>
      <c r="H691" s="434"/>
      <c r="I691" s="434"/>
      <c r="J691" s="434"/>
      <c r="K691" s="434"/>
      <c r="L691" s="434"/>
      <c r="M691" s="434"/>
      <c r="N691" s="434"/>
      <c r="O691" s="434"/>
      <c r="P691" s="434"/>
      <c r="Q691" s="434"/>
      <c r="R691" s="434"/>
      <c r="S691" s="434"/>
      <c r="T691" s="434"/>
      <c r="U691" s="434"/>
    </row>
    <row r="692">
      <c r="A692" s="434"/>
      <c r="B692" s="434"/>
      <c r="C692" s="434"/>
      <c r="D692" s="434"/>
      <c r="E692" s="434"/>
      <c r="F692" s="434"/>
      <c r="G692" s="434"/>
      <c r="H692" s="434"/>
      <c r="I692" s="434"/>
      <c r="J692" s="434"/>
      <c r="K692" s="434"/>
      <c r="L692" s="434"/>
      <c r="M692" s="434"/>
      <c r="N692" s="434"/>
      <c r="O692" s="434"/>
      <c r="P692" s="434"/>
      <c r="Q692" s="434"/>
      <c r="R692" s="434"/>
      <c r="S692" s="434"/>
      <c r="T692" s="434"/>
      <c r="U692" s="434"/>
    </row>
    <row r="693">
      <c r="A693" s="434"/>
      <c r="B693" s="434"/>
      <c r="C693" s="434"/>
      <c r="D693" s="434"/>
      <c r="E693" s="434"/>
      <c r="F693" s="434"/>
      <c r="G693" s="434"/>
      <c r="H693" s="434"/>
      <c r="I693" s="434"/>
      <c r="J693" s="434"/>
      <c r="K693" s="434"/>
      <c r="L693" s="434"/>
      <c r="M693" s="434"/>
      <c r="N693" s="434"/>
      <c r="O693" s="434"/>
      <c r="P693" s="434"/>
      <c r="Q693" s="434"/>
      <c r="R693" s="434"/>
      <c r="S693" s="434"/>
      <c r="T693" s="434"/>
      <c r="U693" s="434"/>
    </row>
    <row r="694">
      <c r="A694" s="434"/>
      <c r="B694" s="434"/>
      <c r="C694" s="434"/>
      <c r="D694" s="434"/>
      <c r="E694" s="434"/>
      <c r="F694" s="434"/>
      <c r="G694" s="434"/>
      <c r="H694" s="434"/>
      <c r="I694" s="434"/>
      <c r="J694" s="434"/>
      <c r="K694" s="434"/>
      <c r="L694" s="434"/>
      <c r="M694" s="434"/>
      <c r="N694" s="434"/>
      <c r="O694" s="434"/>
      <c r="P694" s="434"/>
      <c r="Q694" s="434"/>
      <c r="R694" s="434"/>
      <c r="S694" s="434"/>
      <c r="T694" s="434"/>
      <c r="U694" s="434"/>
    </row>
    <row r="695">
      <c r="A695" s="434"/>
      <c r="B695" s="434"/>
      <c r="C695" s="434"/>
      <c r="D695" s="434"/>
      <c r="E695" s="434"/>
      <c r="F695" s="434"/>
      <c r="G695" s="434"/>
      <c r="H695" s="434"/>
      <c r="I695" s="434"/>
      <c r="J695" s="434"/>
      <c r="K695" s="434"/>
      <c r="L695" s="434"/>
      <c r="M695" s="434"/>
      <c r="N695" s="434"/>
      <c r="O695" s="434"/>
      <c r="P695" s="434"/>
      <c r="Q695" s="434"/>
      <c r="R695" s="434"/>
      <c r="S695" s="434"/>
      <c r="T695" s="434"/>
      <c r="U695" s="434"/>
    </row>
    <row r="696">
      <c r="A696" s="434"/>
      <c r="B696" s="434"/>
      <c r="C696" s="434"/>
      <c r="D696" s="434"/>
      <c r="E696" s="434"/>
      <c r="F696" s="434"/>
      <c r="G696" s="434"/>
      <c r="H696" s="434"/>
      <c r="I696" s="434"/>
      <c r="J696" s="434"/>
      <c r="K696" s="434"/>
      <c r="L696" s="434"/>
      <c r="M696" s="434"/>
      <c r="N696" s="434"/>
      <c r="O696" s="434"/>
      <c r="P696" s="434"/>
      <c r="Q696" s="434"/>
      <c r="R696" s="434"/>
      <c r="S696" s="434"/>
      <c r="T696" s="434"/>
      <c r="U696" s="434"/>
    </row>
    <row r="697">
      <c r="A697" s="434"/>
      <c r="B697" s="434"/>
      <c r="C697" s="434"/>
      <c r="D697" s="434"/>
      <c r="E697" s="434"/>
      <c r="F697" s="434"/>
      <c r="G697" s="434"/>
      <c r="H697" s="434"/>
      <c r="I697" s="434"/>
      <c r="J697" s="434"/>
      <c r="K697" s="434"/>
      <c r="L697" s="434"/>
      <c r="M697" s="434"/>
      <c r="N697" s="434"/>
      <c r="O697" s="434"/>
      <c r="P697" s="434"/>
      <c r="Q697" s="434"/>
      <c r="R697" s="434"/>
      <c r="S697" s="434"/>
      <c r="T697" s="434"/>
      <c r="U697" s="434"/>
    </row>
    <row r="698">
      <c r="A698" s="434"/>
      <c r="B698" s="434"/>
      <c r="C698" s="434"/>
      <c r="D698" s="434"/>
      <c r="E698" s="434"/>
      <c r="F698" s="434"/>
      <c r="G698" s="434"/>
      <c r="H698" s="434"/>
      <c r="I698" s="434"/>
      <c r="J698" s="434"/>
      <c r="K698" s="434"/>
      <c r="L698" s="434"/>
      <c r="M698" s="434"/>
      <c r="N698" s="434"/>
      <c r="O698" s="434"/>
      <c r="P698" s="434"/>
      <c r="Q698" s="434"/>
      <c r="R698" s="434"/>
      <c r="S698" s="434"/>
      <c r="T698" s="434"/>
      <c r="U698" s="434"/>
    </row>
    <row r="699">
      <c r="A699" s="434"/>
      <c r="B699" s="434"/>
      <c r="C699" s="434"/>
      <c r="D699" s="434"/>
      <c r="E699" s="434"/>
      <c r="F699" s="434"/>
      <c r="G699" s="434"/>
      <c r="H699" s="434"/>
      <c r="I699" s="434"/>
      <c r="J699" s="434"/>
      <c r="K699" s="434"/>
      <c r="L699" s="434"/>
      <c r="M699" s="434"/>
      <c r="N699" s="434"/>
      <c r="O699" s="434"/>
      <c r="P699" s="434"/>
      <c r="Q699" s="434"/>
      <c r="R699" s="434"/>
      <c r="S699" s="434"/>
      <c r="T699" s="434"/>
      <c r="U699" s="434"/>
    </row>
    <row r="700">
      <c r="A700" s="434"/>
      <c r="B700" s="434"/>
      <c r="C700" s="434"/>
      <c r="D700" s="434"/>
      <c r="E700" s="434"/>
      <c r="F700" s="434"/>
      <c r="G700" s="434"/>
      <c r="H700" s="434"/>
      <c r="I700" s="434"/>
      <c r="J700" s="434"/>
      <c r="K700" s="434"/>
      <c r="L700" s="434"/>
      <c r="M700" s="434"/>
      <c r="N700" s="434"/>
      <c r="O700" s="434"/>
      <c r="P700" s="434"/>
      <c r="Q700" s="434"/>
      <c r="R700" s="434"/>
      <c r="S700" s="434"/>
      <c r="T700" s="434"/>
      <c r="U700" s="434"/>
    </row>
    <row r="701">
      <c r="A701" s="434"/>
      <c r="B701" s="434"/>
      <c r="C701" s="434"/>
      <c r="D701" s="434"/>
      <c r="E701" s="434"/>
      <c r="F701" s="434"/>
      <c r="G701" s="434"/>
      <c r="H701" s="434"/>
      <c r="I701" s="434"/>
      <c r="J701" s="434"/>
      <c r="K701" s="434"/>
      <c r="L701" s="434"/>
      <c r="M701" s="434"/>
      <c r="N701" s="434"/>
      <c r="O701" s="434"/>
      <c r="P701" s="434"/>
      <c r="Q701" s="434"/>
      <c r="R701" s="434"/>
      <c r="S701" s="434"/>
      <c r="T701" s="434"/>
      <c r="U701" s="434"/>
    </row>
    <row r="702">
      <c r="A702" s="434"/>
      <c r="B702" s="434"/>
      <c r="C702" s="434"/>
      <c r="D702" s="434"/>
      <c r="E702" s="434"/>
      <c r="F702" s="434"/>
      <c r="G702" s="434"/>
      <c r="H702" s="434"/>
      <c r="I702" s="434"/>
      <c r="J702" s="434"/>
      <c r="K702" s="434"/>
      <c r="L702" s="434"/>
      <c r="M702" s="434"/>
      <c r="N702" s="434"/>
      <c r="O702" s="434"/>
      <c r="P702" s="434"/>
      <c r="Q702" s="434"/>
      <c r="R702" s="434"/>
      <c r="S702" s="434"/>
      <c r="T702" s="434"/>
      <c r="U702" s="434"/>
    </row>
    <row r="703">
      <c r="A703" s="434"/>
      <c r="B703" s="434"/>
      <c r="C703" s="434"/>
      <c r="D703" s="434"/>
      <c r="E703" s="434"/>
      <c r="F703" s="434"/>
      <c r="G703" s="434"/>
      <c r="H703" s="434"/>
      <c r="I703" s="434"/>
      <c r="J703" s="434"/>
      <c r="K703" s="434"/>
      <c r="L703" s="434"/>
      <c r="M703" s="434"/>
      <c r="N703" s="434"/>
      <c r="O703" s="434"/>
      <c r="P703" s="434"/>
      <c r="Q703" s="434"/>
      <c r="R703" s="434"/>
      <c r="S703" s="434"/>
      <c r="T703" s="434"/>
      <c r="U703" s="434"/>
    </row>
    <row r="704">
      <c r="A704" s="434"/>
      <c r="B704" s="434"/>
      <c r="C704" s="434"/>
      <c r="D704" s="434"/>
      <c r="E704" s="434"/>
      <c r="F704" s="434"/>
      <c r="G704" s="434"/>
      <c r="H704" s="434"/>
      <c r="I704" s="434"/>
      <c r="J704" s="434"/>
      <c r="K704" s="434"/>
      <c r="L704" s="434"/>
      <c r="M704" s="434"/>
      <c r="N704" s="434"/>
      <c r="O704" s="434"/>
      <c r="P704" s="434"/>
      <c r="Q704" s="434"/>
      <c r="R704" s="434"/>
      <c r="S704" s="434"/>
      <c r="T704" s="434"/>
      <c r="U704" s="434"/>
    </row>
    <row r="705">
      <c r="A705" s="434"/>
      <c r="B705" s="434"/>
      <c r="C705" s="434"/>
      <c r="D705" s="434"/>
      <c r="E705" s="434"/>
      <c r="F705" s="434"/>
      <c r="G705" s="434"/>
      <c r="H705" s="434"/>
      <c r="I705" s="434"/>
      <c r="J705" s="434"/>
      <c r="K705" s="434"/>
      <c r="L705" s="434"/>
      <c r="M705" s="434"/>
      <c r="N705" s="434"/>
      <c r="O705" s="434"/>
      <c r="P705" s="434"/>
      <c r="Q705" s="434"/>
      <c r="R705" s="434"/>
      <c r="S705" s="434"/>
      <c r="T705" s="434"/>
      <c r="U705" s="434"/>
    </row>
    <row r="706">
      <c r="A706" s="434"/>
      <c r="B706" s="434"/>
      <c r="C706" s="434"/>
      <c r="D706" s="434"/>
      <c r="E706" s="434"/>
      <c r="F706" s="434"/>
      <c r="G706" s="434"/>
      <c r="H706" s="434"/>
      <c r="I706" s="434"/>
      <c r="J706" s="434"/>
      <c r="K706" s="434"/>
      <c r="L706" s="434"/>
      <c r="M706" s="434"/>
      <c r="N706" s="434"/>
      <c r="O706" s="434"/>
      <c r="P706" s="434"/>
      <c r="Q706" s="434"/>
      <c r="R706" s="434"/>
      <c r="S706" s="434"/>
      <c r="T706" s="434"/>
      <c r="U706" s="434"/>
    </row>
    <row r="707">
      <c r="A707" s="434"/>
      <c r="B707" s="434"/>
      <c r="C707" s="434"/>
      <c r="D707" s="434"/>
      <c r="E707" s="434"/>
      <c r="F707" s="434"/>
      <c r="G707" s="434"/>
      <c r="H707" s="434"/>
      <c r="I707" s="434"/>
      <c r="J707" s="434"/>
      <c r="K707" s="434"/>
      <c r="L707" s="434"/>
      <c r="M707" s="434"/>
      <c r="N707" s="434"/>
      <c r="O707" s="434"/>
      <c r="P707" s="434"/>
      <c r="Q707" s="434"/>
      <c r="R707" s="434"/>
      <c r="S707" s="434"/>
      <c r="T707" s="434"/>
      <c r="U707" s="434"/>
    </row>
    <row r="708">
      <c r="A708" s="434"/>
      <c r="B708" s="434"/>
      <c r="C708" s="434"/>
      <c r="D708" s="434"/>
      <c r="E708" s="434"/>
      <c r="F708" s="434"/>
      <c r="G708" s="434"/>
      <c r="H708" s="434"/>
      <c r="I708" s="434"/>
      <c r="J708" s="434"/>
      <c r="K708" s="434"/>
      <c r="L708" s="434"/>
      <c r="M708" s="434"/>
      <c r="N708" s="434"/>
      <c r="O708" s="434"/>
      <c r="P708" s="434"/>
      <c r="Q708" s="434"/>
      <c r="R708" s="434"/>
      <c r="S708" s="434"/>
      <c r="T708" s="434"/>
      <c r="U708" s="434"/>
    </row>
    <row r="709">
      <c r="A709" s="434"/>
      <c r="B709" s="434"/>
      <c r="C709" s="434"/>
      <c r="D709" s="434"/>
      <c r="E709" s="434"/>
      <c r="F709" s="434"/>
      <c r="G709" s="434"/>
      <c r="H709" s="434"/>
      <c r="I709" s="434"/>
      <c r="J709" s="434"/>
      <c r="K709" s="434"/>
      <c r="L709" s="434"/>
      <c r="M709" s="434"/>
      <c r="N709" s="434"/>
      <c r="O709" s="434"/>
      <c r="P709" s="434"/>
      <c r="Q709" s="434"/>
      <c r="R709" s="434"/>
      <c r="S709" s="434"/>
      <c r="T709" s="434"/>
      <c r="U709" s="434"/>
    </row>
    <row r="710">
      <c r="A710" s="434"/>
      <c r="B710" s="434"/>
      <c r="C710" s="434"/>
      <c r="D710" s="434"/>
      <c r="E710" s="434"/>
      <c r="F710" s="434"/>
      <c r="G710" s="434"/>
      <c r="H710" s="434"/>
      <c r="I710" s="434"/>
      <c r="J710" s="434"/>
      <c r="K710" s="434"/>
      <c r="L710" s="434"/>
      <c r="M710" s="434"/>
      <c r="N710" s="434"/>
      <c r="O710" s="434"/>
      <c r="P710" s="434"/>
      <c r="Q710" s="434"/>
      <c r="R710" s="434"/>
      <c r="S710" s="434"/>
      <c r="T710" s="434"/>
      <c r="U710" s="434"/>
    </row>
    <row r="711">
      <c r="A711" s="434"/>
      <c r="B711" s="434"/>
      <c r="C711" s="434"/>
      <c r="D711" s="434"/>
      <c r="E711" s="434"/>
      <c r="F711" s="434"/>
      <c r="G711" s="434"/>
      <c r="H711" s="434"/>
      <c r="I711" s="434"/>
      <c r="J711" s="434"/>
      <c r="K711" s="434"/>
      <c r="L711" s="434"/>
      <c r="M711" s="434"/>
      <c r="N711" s="434"/>
      <c r="O711" s="434"/>
      <c r="P711" s="434"/>
      <c r="Q711" s="434"/>
      <c r="R711" s="434"/>
      <c r="S711" s="434"/>
      <c r="T711" s="434"/>
      <c r="U711" s="434"/>
    </row>
    <row r="712">
      <c r="A712" s="434"/>
      <c r="B712" s="434"/>
      <c r="C712" s="434"/>
      <c r="D712" s="434"/>
      <c r="E712" s="434"/>
      <c r="F712" s="434"/>
      <c r="G712" s="434"/>
      <c r="H712" s="434"/>
      <c r="I712" s="434"/>
      <c r="J712" s="434"/>
      <c r="K712" s="434"/>
      <c r="L712" s="434"/>
      <c r="M712" s="434"/>
      <c r="N712" s="434"/>
      <c r="O712" s="434"/>
      <c r="P712" s="434"/>
      <c r="Q712" s="434"/>
      <c r="R712" s="434"/>
      <c r="S712" s="434"/>
      <c r="T712" s="434"/>
      <c r="U712" s="434"/>
    </row>
    <row r="713">
      <c r="A713" s="434"/>
      <c r="B713" s="434"/>
      <c r="C713" s="434"/>
      <c r="D713" s="434"/>
      <c r="E713" s="434"/>
      <c r="F713" s="434"/>
      <c r="G713" s="434"/>
      <c r="H713" s="434"/>
      <c r="I713" s="434"/>
      <c r="J713" s="434"/>
      <c r="K713" s="434"/>
      <c r="L713" s="434"/>
      <c r="M713" s="434"/>
      <c r="N713" s="434"/>
      <c r="O713" s="434"/>
      <c r="P713" s="434"/>
      <c r="Q713" s="434"/>
      <c r="R713" s="434"/>
      <c r="S713" s="434"/>
      <c r="T713" s="434"/>
      <c r="U713" s="434"/>
    </row>
    <row r="714">
      <c r="A714" s="434"/>
      <c r="B714" s="434"/>
      <c r="C714" s="434"/>
      <c r="D714" s="434"/>
      <c r="E714" s="434"/>
      <c r="F714" s="434"/>
      <c r="G714" s="434"/>
      <c r="H714" s="434"/>
      <c r="I714" s="434"/>
      <c r="J714" s="434"/>
      <c r="K714" s="434"/>
      <c r="L714" s="434"/>
      <c r="M714" s="434"/>
      <c r="N714" s="434"/>
      <c r="O714" s="434"/>
      <c r="P714" s="434"/>
      <c r="Q714" s="434"/>
      <c r="R714" s="434"/>
      <c r="S714" s="434"/>
      <c r="T714" s="434"/>
      <c r="U714" s="434"/>
    </row>
    <row r="715">
      <c r="A715" s="434"/>
      <c r="B715" s="434"/>
      <c r="C715" s="434"/>
      <c r="D715" s="434"/>
      <c r="E715" s="434"/>
      <c r="F715" s="434"/>
      <c r="G715" s="434"/>
      <c r="H715" s="434"/>
      <c r="I715" s="434"/>
      <c r="J715" s="434"/>
      <c r="K715" s="434"/>
      <c r="L715" s="434"/>
      <c r="M715" s="434"/>
      <c r="N715" s="434"/>
      <c r="O715" s="434"/>
      <c r="P715" s="434"/>
      <c r="Q715" s="434"/>
      <c r="R715" s="434"/>
      <c r="S715" s="434"/>
      <c r="T715" s="434"/>
      <c r="U715" s="434"/>
    </row>
    <row r="716">
      <c r="A716" s="434"/>
      <c r="B716" s="434"/>
      <c r="C716" s="434"/>
      <c r="D716" s="434"/>
      <c r="E716" s="434"/>
      <c r="F716" s="434"/>
      <c r="G716" s="434"/>
      <c r="H716" s="434"/>
      <c r="I716" s="434"/>
      <c r="J716" s="434"/>
      <c r="K716" s="434"/>
      <c r="L716" s="434"/>
      <c r="M716" s="434"/>
      <c r="N716" s="434"/>
      <c r="O716" s="434"/>
      <c r="P716" s="434"/>
      <c r="Q716" s="434"/>
      <c r="R716" s="434"/>
      <c r="S716" s="434"/>
      <c r="T716" s="434"/>
      <c r="U716" s="434"/>
    </row>
    <row r="717">
      <c r="A717" s="434"/>
      <c r="B717" s="434"/>
      <c r="C717" s="434"/>
      <c r="D717" s="434"/>
      <c r="E717" s="434"/>
      <c r="F717" s="434"/>
      <c r="G717" s="434"/>
      <c r="H717" s="434"/>
      <c r="I717" s="434"/>
      <c r="J717" s="434"/>
      <c r="K717" s="434"/>
      <c r="L717" s="434"/>
      <c r="M717" s="434"/>
      <c r="N717" s="434"/>
      <c r="O717" s="434"/>
      <c r="P717" s="434"/>
      <c r="Q717" s="434"/>
      <c r="R717" s="434"/>
      <c r="S717" s="434"/>
      <c r="T717" s="434"/>
      <c r="U717" s="434"/>
    </row>
    <row r="718">
      <c r="A718" s="434"/>
      <c r="B718" s="434"/>
      <c r="C718" s="434"/>
      <c r="D718" s="434"/>
      <c r="E718" s="434"/>
      <c r="F718" s="434"/>
      <c r="G718" s="434"/>
      <c r="H718" s="434"/>
      <c r="I718" s="434"/>
      <c r="J718" s="434"/>
      <c r="K718" s="434"/>
      <c r="L718" s="434"/>
      <c r="M718" s="434"/>
      <c r="N718" s="434"/>
      <c r="O718" s="434"/>
      <c r="P718" s="434"/>
      <c r="Q718" s="434"/>
      <c r="R718" s="434"/>
      <c r="S718" s="434"/>
      <c r="T718" s="434"/>
      <c r="U718" s="434"/>
    </row>
    <row r="719">
      <c r="A719" s="434"/>
      <c r="B719" s="434"/>
      <c r="C719" s="434"/>
      <c r="D719" s="434"/>
      <c r="E719" s="434"/>
      <c r="F719" s="434"/>
      <c r="G719" s="434"/>
      <c r="H719" s="434"/>
      <c r="I719" s="434"/>
      <c r="J719" s="434"/>
      <c r="K719" s="434"/>
      <c r="L719" s="434"/>
      <c r="M719" s="434"/>
      <c r="N719" s="434"/>
      <c r="O719" s="434"/>
      <c r="P719" s="434"/>
      <c r="Q719" s="434"/>
      <c r="R719" s="434"/>
      <c r="S719" s="434"/>
      <c r="T719" s="434"/>
      <c r="U719" s="434"/>
    </row>
    <row r="720">
      <c r="A720" s="434"/>
      <c r="B720" s="434"/>
      <c r="C720" s="434"/>
      <c r="D720" s="434"/>
      <c r="E720" s="434"/>
      <c r="F720" s="434"/>
      <c r="G720" s="434"/>
      <c r="H720" s="434"/>
      <c r="I720" s="434"/>
      <c r="J720" s="434"/>
      <c r="K720" s="434"/>
      <c r="L720" s="434"/>
      <c r="M720" s="434"/>
      <c r="N720" s="434"/>
      <c r="O720" s="434"/>
      <c r="P720" s="434"/>
      <c r="Q720" s="434"/>
      <c r="R720" s="434"/>
      <c r="S720" s="434"/>
      <c r="T720" s="434"/>
      <c r="U720" s="434"/>
    </row>
    <row r="721">
      <c r="A721" s="434"/>
      <c r="B721" s="434"/>
      <c r="C721" s="434"/>
      <c r="D721" s="434"/>
      <c r="E721" s="434"/>
      <c r="F721" s="434"/>
      <c r="G721" s="434"/>
      <c r="H721" s="434"/>
      <c r="I721" s="434"/>
      <c r="J721" s="434"/>
      <c r="K721" s="434"/>
      <c r="L721" s="434"/>
      <c r="M721" s="434"/>
      <c r="N721" s="434"/>
      <c r="O721" s="434"/>
      <c r="P721" s="434"/>
      <c r="Q721" s="434"/>
      <c r="R721" s="434"/>
      <c r="S721" s="434"/>
      <c r="T721" s="434"/>
      <c r="U721" s="434"/>
    </row>
    <row r="722">
      <c r="A722" s="434"/>
      <c r="B722" s="434"/>
      <c r="C722" s="434"/>
      <c r="D722" s="434"/>
      <c r="E722" s="434"/>
      <c r="F722" s="434"/>
      <c r="G722" s="434"/>
      <c r="H722" s="434"/>
      <c r="I722" s="434"/>
      <c r="J722" s="434"/>
      <c r="K722" s="434"/>
      <c r="L722" s="434"/>
      <c r="M722" s="434"/>
      <c r="N722" s="434"/>
      <c r="O722" s="434"/>
      <c r="P722" s="434"/>
      <c r="Q722" s="434"/>
      <c r="R722" s="434"/>
      <c r="S722" s="434"/>
      <c r="T722" s="434"/>
      <c r="U722" s="434"/>
    </row>
    <row r="723">
      <c r="A723" s="434"/>
      <c r="B723" s="434"/>
      <c r="C723" s="434"/>
      <c r="D723" s="434"/>
      <c r="E723" s="434"/>
      <c r="F723" s="434"/>
      <c r="G723" s="434"/>
      <c r="H723" s="434"/>
      <c r="I723" s="434"/>
      <c r="J723" s="434"/>
      <c r="K723" s="434"/>
      <c r="L723" s="434"/>
      <c r="M723" s="434"/>
      <c r="N723" s="434"/>
      <c r="O723" s="434"/>
      <c r="P723" s="434"/>
      <c r="Q723" s="434"/>
      <c r="R723" s="434"/>
      <c r="S723" s="434"/>
      <c r="T723" s="434"/>
      <c r="U723" s="434"/>
    </row>
    <row r="724">
      <c r="A724" s="434"/>
      <c r="B724" s="434"/>
      <c r="C724" s="434"/>
      <c r="D724" s="434"/>
      <c r="E724" s="434"/>
      <c r="F724" s="434"/>
      <c r="G724" s="434"/>
      <c r="H724" s="434"/>
      <c r="I724" s="434"/>
      <c r="J724" s="434"/>
      <c r="K724" s="434"/>
      <c r="L724" s="434"/>
      <c r="M724" s="434"/>
      <c r="N724" s="434"/>
      <c r="O724" s="434"/>
      <c r="P724" s="434"/>
      <c r="Q724" s="434"/>
      <c r="R724" s="434"/>
      <c r="S724" s="434"/>
      <c r="T724" s="434"/>
      <c r="U724" s="434"/>
    </row>
    <row r="725">
      <c r="A725" s="434"/>
      <c r="B725" s="434"/>
      <c r="C725" s="434"/>
      <c r="D725" s="434"/>
      <c r="E725" s="434"/>
      <c r="F725" s="434"/>
      <c r="G725" s="434"/>
      <c r="H725" s="434"/>
      <c r="I725" s="434"/>
      <c r="J725" s="434"/>
      <c r="K725" s="434"/>
      <c r="L725" s="434"/>
      <c r="M725" s="434"/>
      <c r="N725" s="434"/>
      <c r="O725" s="434"/>
      <c r="P725" s="434"/>
      <c r="Q725" s="434"/>
      <c r="R725" s="434"/>
      <c r="S725" s="434"/>
      <c r="T725" s="434"/>
      <c r="U725" s="434"/>
    </row>
    <row r="726">
      <c r="A726" s="434"/>
      <c r="B726" s="434"/>
      <c r="C726" s="434"/>
      <c r="D726" s="434"/>
      <c r="E726" s="434"/>
      <c r="F726" s="434"/>
      <c r="G726" s="434"/>
      <c r="H726" s="434"/>
      <c r="I726" s="434"/>
      <c r="J726" s="434"/>
      <c r="K726" s="434"/>
      <c r="L726" s="434"/>
      <c r="M726" s="434"/>
      <c r="N726" s="434"/>
      <c r="O726" s="434"/>
      <c r="P726" s="434"/>
      <c r="Q726" s="434"/>
      <c r="R726" s="434"/>
      <c r="S726" s="434"/>
      <c r="T726" s="434"/>
      <c r="U726" s="434"/>
    </row>
    <row r="727">
      <c r="A727" s="434"/>
      <c r="B727" s="434"/>
      <c r="C727" s="434"/>
      <c r="D727" s="434"/>
      <c r="E727" s="434"/>
      <c r="F727" s="434"/>
      <c r="G727" s="434"/>
      <c r="H727" s="434"/>
      <c r="I727" s="434"/>
      <c r="J727" s="434"/>
      <c r="K727" s="434"/>
      <c r="L727" s="434"/>
      <c r="M727" s="434"/>
      <c r="N727" s="434"/>
      <c r="O727" s="434"/>
      <c r="P727" s="434"/>
      <c r="Q727" s="434"/>
      <c r="R727" s="434"/>
      <c r="S727" s="434"/>
      <c r="T727" s="434"/>
      <c r="U727" s="434"/>
    </row>
    <row r="728">
      <c r="A728" s="434"/>
      <c r="B728" s="434"/>
      <c r="C728" s="434"/>
      <c r="D728" s="434"/>
      <c r="E728" s="434"/>
      <c r="F728" s="434"/>
      <c r="G728" s="434"/>
      <c r="H728" s="434"/>
      <c r="I728" s="434"/>
      <c r="J728" s="434"/>
      <c r="K728" s="434"/>
      <c r="L728" s="434"/>
      <c r="M728" s="434"/>
      <c r="N728" s="434"/>
      <c r="O728" s="434"/>
      <c r="P728" s="434"/>
      <c r="Q728" s="434"/>
      <c r="R728" s="434"/>
      <c r="S728" s="434"/>
      <c r="T728" s="434"/>
      <c r="U728" s="434"/>
    </row>
    <row r="729">
      <c r="A729" s="434"/>
      <c r="B729" s="434"/>
      <c r="C729" s="434"/>
      <c r="D729" s="434"/>
      <c r="E729" s="434"/>
      <c r="F729" s="434"/>
      <c r="G729" s="434"/>
      <c r="H729" s="434"/>
      <c r="I729" s="434"/>
      <c r="J729" s="434"/>
      <c r="K729" s="434"/>
      <c r="L729" s="434"/>
      <c r="M729" s="434"/>
      <c r="N729" s="434"/>
      <c r="O729" s="434"/>
      <c r="P729" s="434"/>
      <c r="Q729" s="434"/>
      <c r="R729" s="434"/>
      <c r="S729" s="434"/>
      <c r="T729" s="434"/>
      <c r="U729" s="434"/>
    </row>
    <row r="730">
      <c r="A730" s="434"/>
      <c r="B730" s="434"/>
      <c r="C730" s="434"/>
      <c r="D730" s="434"/>
      <c r="E730" s="434"/>
      <c r="F730" s="434"/>
      <c r="G730" s="434"/>
      <c r="H730" s="434"/>
      <c r="I730" s="434"/>
      <c r="J730" s="434"/>
      <c r="K730" s="434"/>
      <c r="L730" s="434"/>
      <c r="M730" s="434"/>
      <c r="N730" s="434"/>
      <c r="O730" s="434"/>
      <c r="P730" s="434"/>
      <c r="Q730" s="434"/>
      <c r="R730" s="434"/>
      <c r="S730" s="434"/>
      <c r="T730" s="434"/>
      <c r="U730" s="434"/>
    </row>
    <row r="731">
      <c r="A731" s="434"/>
      <c r="B731" s="434"/>
      <c r="C731" s="434"/>
      <c r="D731" s="434"/>
      <c r="E731" s="434"/>
      <c r="F731" s="434"/>
      <c r="G731" s="434"/>
      <c r="H731" s="434"/>
      <c r="I731" s="434"/>
      <c r="J731" s="434"/>
      <c r="K731" s="434"/>
      <c r="L731" s="434"/>
      <c r="M731" s="434"/>
      <c r="N731" s="434"/>
      <c r="O731" s="434"/>
      <c r="P731" s="434"/>
      <c r="Q731" s="434"/>
      <c r="R731" s="434"/>
      <c r="S731" s="434"/>
      <c r="T731" s="434"/>
      <c r="U731" s="434"/>
    </row>
    <row r="732">
      <c r="A732" s="434"/>
      <c r="B732" s="434"/>
      <c r="C732" s="434"/>
      <c r="D732" s="434"/>
      <c r="E732" s="434"/>
      <c r="F732" s="434"/>
      <c r="G732" s="434"/>
      <c r="H732" s="434"/>
      <c r="I732" s="434"/>
      <c r="J732" s="434"/>
      <c r="K732" s="434"/>
      <c r="L732" s="434"/>
      <c r="M732" s="434"/>
      <c r="N732" s="434"/>
      <c r="O732" s="434"/>
      <c r="P732" s="434"/>
      <c r="Q732" s="434"/>
      <c r="R732" s="434"/>
      <c r="S732" s="434"/>
      <c r="T732" s="434"/>
      <c r="U732" s="434"/>
    </row>
    <row r="733">
      <c r="A733" s="434"/>
      <c r="B733" s="434"/>
      <c r="C733" s="434"/>
      <c r="D733" s="434"/>
      <c r="E733" s="434"/>
      <c r="F733" s="434"/>
      <c r="G733" s="434"/>
      <c r="H733" s="434"/>
      <c r="I733" s="434"/>
      <c r="J733" s="434"/>
      <c r="K733" s="434"/>
      <c r="L733" s="434"/>
      <c r="M733" s="434"/>
      <c r="N733" s="434"/>
      <c r="O733" s="434"/>
      <c r="P733" s="434"/>
      <c r="Q733" s="434"/>
      <c r="R733" s="434"/>
      <c r="S733" s="434"/>
      <c r="T733" s="434"/>
      <c r="U733" s="434"/>
    </row>
    <row r="734">
      <c r="A734" s="434"/>
      <c r="B734" s="434"/>
      <c r="C734" s="434"/>
      <c r="D734" s="434"/>
      <c r="E734" s="434"/>
      <c r="F734" s="434"/>
      <c r="G734" s="434"/>
      <c r="H734" s="434"/>
      <c r="I734" s="434"/>
      <c r="J734" s="434"/>
      <c r="K734" s="434"/>
      <c r="L734" s="434"/>
      <c r="M734" s="434"/>
      <c r="N734" s="434"/>
      <c r="O734" s="434"/>
      <c r="P734" s="434"/>
      <c r="Q734" s="434"/>
      <c r="R734" s="434"/>
      <c r="S734" s="434"/>
      <c r="T734" s="434"/>
      <c r="U734" s="434"/>
    </row>
    <row r="735">
      <c r="A735" s="434"/>
      <c r="B735" s="434"/>
      <c r="C735" s="434"/>
      <c r="D735" s="434"/>
      <c r="E735" s="434"/>
      <c r="F735" s="434"/>
      <c r="G735" s="434"/>
      <c r="H735" s="434"/>
      <c r="I735" s="434"/>
      <c r="J735" s="434"/>
      <c r="K735" s="434"/>
      <c r="L735" s="434"/>
      <c r="M735" s="434"/>
      <c r="N735" s="434"/>
      <c r="O735" s="434"/>
      <c r="P735" s="434"/>
      <c r="Q735" s="434"/>
      <c r="R735" s="434"/>
      <c r="S735" s="434"/>
      <c r="T735" s="434"/>
      <c r="U735" s="434"/>
    </row>
    <row r="736">
      <c r="A736" s="434"/>
      <c r="B736" s="434"/>
      <c r="C736" s="434"/>
      <c r="D736" s="434"/>
      <c r="E736" s="434"/>
      <c r="F736" s="434"/>
      <c r="G736" s="434"/>
      <c r="H736" s="434"/>
      <c r="I736" s="434"/>
      <c r="J736" s="434"/>
      <c r="K736" s="434"/>
      <c r="L736" s="434"/>
      <c r="M736" s="434"/>
      <c r="N736" s="434"/>
      <c r="O736" s="434"/>
      <c r="P736" s="434"/>
      <c r="Q736" s="434"/>
      <c r="R736" s="434"/>
      <c r="S736" s="434"/>
      <c r="T736" s="434"/>
      <c r="U736" s="434"/>
    </row>
    <row r="737">
      <c r="A737" s="434"/>
      <c r="B737" s="434"/>
      <c r="C737" s="434"/>
      <c r="D737" s="434"/>
      <c r="E737" s="434"/>
      <c r="F737" s="434"/>
      <c r="G737" s="434"/>
      <c r="H737" s="434"/>
      <c r="I737" s="434"/>
      <c r="J737" s="434"/>
      <c r="K737" s="434"/>
      <c r="L737" s="434"/>
      <c r="M737" s="434"/>
      <c r="N737" s="434"/>
      <c r="O737" s="434"/>
      <c r="P737" s="434"/>
      <c r="Q737" s="434"/>
      <c r="R737" s="434"/>
      <c r="S737" s="434"/>
      <c r="T737" s="434"/>
      <c r="U737" s="434"/>
    </row>
    <row r="738">
      <c r="A738" s="434"/>
      <c r="B738" s="434"/>
      <c r="C738" s="434"/>
      <c r="D738" s="434"/>
      <c r="E738" s="434"/>
      <c r="F738" s="434"/>
      <c r="G738" s="434"/>
      <c r="H738" s="434"/>
      <c r="I738" s="434"/>
      <c r="J738" s="434"/>
      <c r="K738" s="434"/>
      <c r="L738" s="434"/>
      <c r="M738" s="434"/>
      <c r="N738" s="434"/>
      <c r="O738" s="434"/>
      <c r="P738" s="434"/>
      <c r="Q738" s="434"/>
      <c r="R738" s="434"/>
      <c r="S738" s="434"/>
      <c r="T738" s="434"/>
      <c r="U738" s="434"/>
    </row>
    <row r="739">
      <c r="A739" s="434"/>
      <c r="B739" s="434"/>
      <c r="C739" s="434"/>
      <c r="D739" s="434"/>
      <c r="E739" s="434"/>
      <c r="F739" s="434"/>
      <c r="G739" s="434"/>
      <c r="H739" s="434"/>
      <c r="I739" s="434"/>
      <c r="J739" s="434"/>
      <c r="K739" s="434"/>
      <c r="L739" s="434"/>
      <c r="M739" s="434"/>
      <c r="N739" s="434"/>
      <c r="O739" s="434"/>
      <c r="P739" s="434"/>
      <c r="Q739" s="434"/>
      <c r="R739" s="434"/>
      <c r="S739" s="434"/>
      <c r="T739" s="434"/>
      <c r="U739" s="434"/>
    </row>
    <row r="740">
      <c r="A740" s="434"/>
      <c r="B740" s="434"/>
      <c r="C740" s="434"/>
      <c r="D740" s="434"/>
      <c r="E740" s="434"/>
      <c r="F740" s="434"/>
      <c r="G740" s="434"/>
      <c r="H740" s="434"/>
      <c r="I740" s="434"/>
      <c r="J740" s="434"/>
      <c r="K740" s="434"/>
      <c r="L740" s="434"/>
      <c r="M740" s="434"/>
      <c r="N740" s="434"/>
      <c r="O740" s="434"/>
      <c r="P740" s="434"/>
      <c r="Q740" s="434"/>
      <c r="R740" s="434"/>
      <c r="S740" s="434"/>
      <c r="T740" s="434"/>
      <c r="U740" s="434"/>
    </row>
    <row r="741">
      <c r="A741" s="434"/>
      <c r="B741" s="434"/>
      <c r="C741" s="434"/>
      <c r="D741" s="434"/>
      <c r="E741" s="434"/>
      <c r="F741" s="434"/>
      <c r="G741" s="434"/>
      <c r="H741" s="434"/>
      <c r="I741" s="434"/>
      <c r="J741" s="434"/>
      <c r="K741" s="434"/>
      <c r="L741" s="434"/>
      <c r="M741" s="434"/>
      <c r="N741" s="434"/>
      <c r="O741" s="434"/>
      <c r="P741" s="434"/>
      <c r="Q741" s="434"/>
      <c r="R741" s="434"/>
      <c r="S741" s="434"/>
      <c r="T741" s="434"/>
      <c r="U741" s="434"/>
    </row>
    <row r="742">
      <c r="A742" s="434"/>
      <c r="B742" s="434"/>
      <c r="C742" s="434"/>
      <c r="D742" s="434"/>
      <c r="E742" s="434"/>
      <c r="F742" s="434"/>
      <c r="G742" s="434"/>
      <c r="H742" s="434"/>
      <c r="I742" s="434"/>
      <c r="J742" s="434"/>
      <c r="K742" s="434"/>
      <c r="L742" s="434"/>
      <c r="M742" s="434"/>
      <c r="N742" s="434"/>
      <c r="O742" s="434"/>
      <c r="P742" s="434"/>
      <c r="Q742" s="434"/>
      <c r="R742" s="434"/>
      <c r="S742" s="434"/>
      <c r="T742" s="434"/>
      <c r="U742" s="434"/>
    </row>
    <row r="743">
      <c r="A743" s="434"/>
      <c r="B743" s="434"/>
      <c r="C743" s="434"/>
      <c r="D743" s="434"/>
      <c r="E743" s="434"/>
      <c r="F743" s="434"/>
      <c r="G743" s="434"/>
      <c r="H743" s="434"/>
      <c r="I743" s="434"/>
      <c r="J743" s="434"/>
      <c r="K743" s="434"/>
      <c r="L743" s="434"/>
      <c r="M743" s="434"/>
      <c r="N743" s="434"/>
      <c r="O743" s="434"/>
      <c r="P743" s="434"/>
      <c r="Q743" s="434"/>
      <c r="R743" s="434"/>
      <c r="S743" s="434"/>
      <c r="T743" s="434"/>
      <c r="U743" s="434"/>
    </row>
    <row r="744">
      <c r="A744" s="434"/>
      <c r="B744" s="434"/>
      <c r="C744" s="434"/>
      <c r="D744" s="434"/>
      <c r="E744" s="434"/>
      <c r="F744" s="434"/>
      <c r="G744" s="434"/>
      <c r="H744" s="434"/>
      <c r="I744" s="434"/>
      <c r="J744" s="434"/>
      <c r="K744" s="434"/>
      <c r="L744" s="434"/>
      <c r="M744" s="434"/>
      <c r="N744" s="434"/>
      <c r="O744" s="434"/>
      <c r="P744" s="434"/>
      <c r="Q744" s="434"/>
      <c r="R744" s="434"/>
      <c r="S744" s="434"/>
      <c r="T744" s="434"/>
      <c r="U744" s="434"/>
    </row>
    <row r="745">
      <c r="A745" s="434"/>
      <c r="B745" s="434"/>
      <c r="C745" s="434"/>
      <c r="D745" s="434"/>
      <c r="E745" s="434"/>
      <c r="F745" s="434"/>
      <c r="G745" s="434"/>
      <c r="H745" s="434"/>
      <c r="I745" s="434"/>
      <c r="J745" s="434"/>
      <c r="K745" s="434"/>
      <c r="L745" s="434"/>
      <c r="M745" s="434"/>
      <c r="N745" s="434"/>
      <c r="O745" s="434"/>
      <c r="P745" s="434"/>
      <c r="Q745" s="434"/>
      <c r="R745" s="434"/>
      <c r="S745" s="434"/>
      <c r="T745" s="434"/>
      <c r="U745" s="434"/>
    </row>
    <row r="746">
      <c r="A746" s="434"/>
      <c r="B746" s="434"/>
      <c r="C746" s="434"/>
      <c r="D746" s="434"/>
      <c r="E746" s="434"/>
      <c r="F746" s="434"/>
      <c r="G746" s="434"/>
      <c r="H746" s="434"/>
      <c r="I746" s="434"/>
      <c r="J746" s="434"/>
      <c r="K746" s="434"/>
      <c r="L746" s="434"/>
      <c r="M746" s="434"/>
      <c r="N746" s="434"/>
      <c r="O746" s="434"/>
      <c r="P746" s="434"/>
      <c r="Q746" s="434"/>
      <c r="R746" s="434"/>
      <c r="S746" s="434"/>
      <c r="T746" s="434"/>
      <c r="U746" s="434"/>
    </row>
    <row r="747">
      <c r="A747" s="434"/>
      <c r="B747" s="434"/>
      <c r="C747" s="434"/>
      <c r="D747" s="434"/>
      <c r="E747" s="434"/>
      <c r="F747" s="434"/>
      <c r="G747" s="434"/>
      <c r="H747" s="434"/>
      <c r="I747" s="434"/>
      <c r="J747" s="434"/>
      <c r="K747" s="434"/>
      <c r="L747" s="434"/>
      <c r="M747" s="434"/>
      <c r="N747" s="434"/>
      <c r="O747" s="434"/>
      <c r="P747" s="434"/>
      <c r="Q747" s="434"/>
      <c r="R747" s="434"/>
      <c r="S747" s="434"/>
      <c r="T747" s="434"/>
      <c r="U747" s="434"/>
    </row>
    <row r="748">
      <c r="A748" s="434"/>
      <c r="B748" s="434"/>
      <c r="C748" s="434"/>
      <c r="D748" s="434"/>
      <c r="E748" s="434"/>
      <c r="F748" s="434"/>
      <c r="G748" s="434"/>
      <c r="H748" s="434"/>
      <c r="I748" s="434"/>
      <c r="J748" s="434"/>
      <c r="K748" s="434"/>
      <c r="L748" s="434"/>
      <c r="M748" s="434"/>
      <c r="N748" s="434"/>
      <c r="O748" s="434"/>
      <c r="P748" s="434"/>
      <c r="Q748" s="434"/>
      <c r="R748" s="434"/>
      <c r="S748" s="434"/>
      <c r="T748" s="434"/>
      <c r="U748" s="434"/>
    </row>
    <row r="749">
      <c r="A749" s="434"/>
      <c r="B749" s="434"/>
      <c r="C749" s="434"/>
      <c r="D749" s="434"/>
      <c r="E749" s="434"/>
      <c r="F749" s="434"/>
      <c r="G749" s="434"/>
      <c r="H749" s="434"/>
      <c r="I749" s="434"/>
      <c r="J749" s="434"/>
      <c r="K749" s="434"/>
      <c r="L749" s="434"/>
      <c r="M749" s="434"/>
      <c r="N749" s="434"/>
      <c r="O749" s="434"/>
      <c r="P749" s="434"/>
      <c r="Q749" s="434"/>
      <c r="R749" s="434"/>
      <c r="S749" s="434"/>
      <c r="T749" s="434"/>
      <c r="U749" s="434"/>
    </row>
    <row r="750">
      <c r="A750" s="434"/>
      <c r="B750" s="434"/>
      <c r="C750" s="434"/>
      <c r="D750" s="434"/>
      <c r="E750" s="434"/>
      <c r="F750" s="434"/>
      <c r="G750" s="434"/>
      <c r="H750" s="434"/>
      <c r="I750" s="434"/>
      <c r="J750" s="434"/>
      <c r="K750" s="434"/>
      <c r="L750" s="434"/>
      <c r="M750" s="434"/>
      <c r="N750" s="434"/>
      <c r="O750" s="434"/>
      <c r="P750" s="434"/>
      <c r="Q750" s="434"/>
      <c r="R750" s="434"/>
      <c r="S750" s="434"/>
      <c r="T750" s="434"/>
      <c r="U750" s="434"/>
    </row>
    <row r="751">
      <c r="A751" s="434"/>
      <c r="B751" s="434"/>
      <c r="C751" s="434"/>
      <c r="D751" s="434"/>
      <c r="E751" s="434"/>
      <c r="F751" s="434"/>
      <c r="G751" s="434"/>
      <c r="H751" s="434"/>
      <c r="I751" s="434"/>
      <c r="J751" s="434"/>
      <c r="K751" s="434"/>
      <c r="L751" s="434"/>
      <c r="M751" s="434"/>
      <c r="N751" s="434"/>
      <c r="O751" s="434"/>
      <c r="P751" s="434"/>
      <c r="Q751" s="434"/>
      <c r="R751" s="434"/>
      <c r="S751" s="434"/>
      <c r="T751" s="434"/>
      <c r="U751" s="434"/>
    </row>
    <row r="752">
      <c r="A752" s="434"/>
      <c r="B752" s="434"/>
      <c r="C752" s="434"/>
      <c r="D752" s="434"/>
      <c r="E752" s="434"/>
      <c r="F752" s="434"/>
      <c r="G752" s="434"/>
      <c r="H752" s="434"/>
      <c r="I752" s="434"/>
      <c r="J752" s="434"/>
      <c r="K752" s="434"/>
      <c r="L752" s="434"/>
      <c r="M752" s="434"/>
      <c r="N752" s="434"/>
      <c r="O752" s="434"/>
      <c r="P752" s="434"/>
      <c r="Q752" s="434"/>
      <c r="R752" s="434"/>
      <c r="S752" s="434"/>
      <c r="T752" s="434"/>
      <c r="U752" s="434"/>
    </row>
    <row r="753">
      <c r="A753" s="434"/>
      <c r="B753" s="434"/>
      <c r="C753" s="434"/>
      <c r="D753" s="434"/>
      <c r="E753" s="434"/>
      <c r="F753" s="434"/>
      <c r="G753" s="434"/>
      <c r="H753" s="434"/>
      <c r="I753" s="434"/>
      <c r="J753" s="434"/>
      <c r="K753" s="434"/>
      <c r="L753" s="434"/>
      <c r="M753" s="434"/>
      <c r="N753" s="434"/>
      <c r="O753" s="434"/>
      <c r="P753" s="434"/>
      <c r="Q753" s="434"/>
      <c r="R753" s="434"/>
      <c r="S753" s="434"/>
      <c r="T753" s="434"/>
      <c r="U753" s="434"/>
    </row>
    <row r="754">
      <c r="A754" s="434"/>
      <c r="B754" s="434"/>
      <c r="C754" s="434"/>
      <c r="D754" s="434"/>
      <c r="E754" s="434"/>
      <c r="F754" s="434"/>
      <c r="G754" s="434"/>
      <c r="H754" s="434"/>
      <c r="I754" s="434"/>
      <c r="J754" s="434"/>
      <c r="K754" s="434"/>
      <c r="L754" s="434"/>
      <c r="M754" s="434"/>
      <c r="N754" s="434"/>
      <c r="O754" s="434"/>
      <c r="P754" s="434"/>
      <c r="Q754" s="434"/>
      <c r="R754" s="434"/>
      <c r="S754" s="434"/>
      <c r="T754" s="434"/>
      <c r="U754" s="434"/>
    </row>
    <row r="755">
      <c r="A755" s="434"/>
      <c r="B755" s="434"/>
      <c r="C755" s="434"/>
      <c r="D755" s="434"/>
      <c r="E755" s="434"/>
      <c r="F755" s="434"/>
      <c r="G755" s="434"/>
      <c r="H755" s="434"/>
      <c r="I755" s="434"/>
      <c r="J755" s="434"/>
      <c r="K755" s="434"/>
      <c r="L755" s="434"/>
      <c r="M755" s="434"/>
      <c r="N755" s="434"/>
      <c r="O755" s="434"/>
      <c r="P755" s="434"/>
      <c r="Q755" s="434"/>
      <c r="R755" s="434"/>
      <c r="S755" s="434"/>
      <c r="T755" s="434"/>
      <c r="U755" s="434"/>
    </row>
    <row r="756">
      <c r="A756" s="434"/>
      <c r="B756" s="434"/>
      <c r="C756" s="434"/>
      <c r="D756" s="434"/>
      <c r="E756" s="434"/>
      <c r="F756" s="434"/>
      <c r="G756" s="434"/>
      <c r="H756" s="434"/>
      <c r="I756" s="434"/>
      <c r="J756" s="434"/>
      <c r="K756" s="434"/>
      <c r="L756" s="434"/>
      <c r="M756" s="434"/>
      <c r="N756" s="434"/>
      <c r="O756" s="434"/>
      <c r="P756" s="434"/>
      <c r="Q756" s="434"/>
      <c r="R756" s="434"/>
      <c r="S756" s="434"/>
      <c r="T756" s="434"/>
      <c r="U756" s="434"/>
    </row>
    <row r="757">
      <c r="A757" s="434"/>
      <c r="B757" s="434"/>
      <c r="C757" s="434"/>
      <c r="D757" s="434"/>
      <c r="E757" s="434"/>
      <c r="F757" s="434"/>
      <c r="G757" s="434"/>
      <c r="H757" s="434"/>
      <c r="I757" s="434"/>
      <c r="J757" s="434"/>
      <c r="K757" s="434"/>
      <c r="L757" s="434"/>
      <c r="M757" s="434"/>
      <c r="N757" s="434"/>
      <c r="O757" s="434"/>
      <c r="P757" s="434"/>
      <c r="Q757" s="434"/>
      <c r="R757" s="434"/>
      <c r="S757" s="434"/>
      <c r="T757" s="434"/>
      <c r="U757" s="434"/>
    </row>
    <row r="758">
      <c r="A758" s="434"/>
      <c r="B758" s="434"/>
      <c r="C758" s="434"/>
      <c r="D758" s="434"/>
      <c r="E758" s="434"/>
      <c r="F758" s="434"/>
      <c r="G758" s="434"/>
      <c r="H758" s="434"/>
      <c r="I758" s="434"/>
      <c r="J758" s="434"/>
      <c r="K758" s="434"/>
      <c r="L758" s="434"/>
      <c r="M758" s="434"/>
      <c r="N758" s="434"/>
      <c r="O758" s="434"/>
      <c r="P758" s="434"/>
      <c r="Q758" s="434"/>
      <c r="R758" s="434"/>
      <c r="S758" s="434"/>
      <c r="T758" s="434"/>
      <c r="U758" s="434"/>
    </row>
    <row r="759">
      <c r="A759" s="434"/>
      <c r="B759" s="434"/>
      <c r="C759" s="434"/>
      <c r="D759" s="434"/>
      <c r="E759" s="434"/>
      <c r="F759" s="434"/>
      <c r="G759" s="434"/>
      <c r="H759" s="434"/>
      <c r="I759" s="434"/>
      <c r="J759" s="434"/>
      <c r="K759" s="434"/>
      <c r="L759" s="434"/>
      <c r="M759" s="434"/>
      <c r="N759" s="434"/>
      <c r="O759" s="434"/>
      <c r="P759" s="434"/>
      <c r="Q759" s="434"/>
      <c r="R759" s="434"/>
      <c r="S759" s="434"/>
      <c r="T759" s="434"/>
      <c r="U759" s="434"/>
    </row>
    <row r="760">
      <c r="A760" s="434"/>
      <c r="B760" s="434"/>
      <c r="C760" s="434"/>
      <c r="D760" s="434"/>
      <c r="E760" s="434"/>
      <c r="F760" s="434"/>
      <c r="G760" s="434"/>
      <c r="H760" s="434"/>
      <c r="I760" s="434"/>
      <c r="J760" s="434"/>
      <c r="K760" s="434"/>
      <c r="L760" s="434"/>
      <c r="M760" s="434"/>
      <c r="N760" s="434"/>
      <c r="O760" s="434"/>
      <c r="P760" s="434"/>
      <c r="Q760" s="434"/>
      <c r="R760" s="434"/>
      <c r="S760" s="434"/>
      <c r="T760" s="434"/>
      <c r="U760" s="434"/>
    </row>
    <row r="761">
      <c r="A761" s="434"/>
      <c r="B761" s="434"/>
      <c r="C761" s="434"/>
      <c r="D761" s="434"/>
      <c r="E761" s="434"/>
      <c r="F761" s="434"/>
      <c r="G761" s="434"/>
      <c r="H761" s="434"/>
      <c r="I761" s="434"/>
      <c r="J761" s="434"/>
      <c r="K761" s="434"/>
      <c r="L761" s="434"/>
      <c r="M761" s="434"/>
      <c r="N761" s="434"/>
      <c r="O761" s="434"/>
      <c r="P761" s="434"/>
      <c r="Q761" s="434"/>
      <c r="R761" s="434"/>
      <c r="S761" s="434"/>
      <c r="T761" s="434"/>
      <c r="U761" s="434"/>
    </row>
    <row r="762">
      <c r="A762" s="434"/>
      <c r="B762" s="434"/>
      <c r="C762" s="434"/>
      <c r="D762" s="434"/>
      <c r="E762" s="434"/>
      <c r="F762" s="434"/>
      <c r="G762" s="434"/>
      <c r="H762" s="434"/>
      <c r="I762" s="434"/>
      <c r="J762" s="434"/>
      <c r="K762" s="434"/>
      <c r="L762" s="434"/>
      <c r="M762" s="434"/>
      <c r="N762" s="434"/>
      <c r="O762" s="434"/>
      <c r="P762" s="434"/>
      <c r="Q762" s="434"/>
      <c r="R762" s="434"/>
      <c r="S762" s="434"/>
      <c r="T762" s="434"/>
      <c r="U762" s="434"/>
    </row>
    <row r="763">
      <c r="A763" s="434"/>
      <c r="B763" s="434"/>
      <c r="C763" s="434"/>
      <c r="D763" s="434"/>
      <c r="E763" s="434"/>
      <c r="F763" s="434"/>
      <c r="G763" s="434"/>
      <c r="H763" s="434"/>
      <c r="I763" s="434"/>
      <c r="J763" s="434"/>
      <c r="K763" s="434"/>
      <c r="L763" s="434"/>
      <c r="M763" s="434"/>
      <c r="N763" s="434"/>
      <c r="O763" s="434"/>
      <c r="P763" s="434"/>
      <c r="Q763" s="434"/>
      <c r="R763" s="434"/>
      <c r="S763" s="434"/>
      <c r="T763" s="434"/>
      <c r="U763" s="434"/>
    </row>
    <row r="764">
      <c r="A764" s="434"/>
      <c r="B764" s="434"/>
      <c r="C764" s="434"/>
      <c r="D764" s="434"/>
      <c r="E764" s="434"/>
      <c r="F764" s="434"/>
      <c r="G764" s="434"/>
      <c r="H764" s="434"/>
      <c r="I764" s="434"/>
      <c r="J764" s="434"/>
      <c r="K764" s="434"/>
      <c r="L764" s="434"/>
      <c r="M764" s="434"/>
      <c r="N764" s="434"/>
      <c r="O764" s="434"/>
      <c r="P764" s="434"/>
      <c r="Q764" s="434"/>
      <c r="R764" s="434"/>
      <c r="S764" s="434"/>
      <c r="T764" s="434"/>
      <c r="U764" s="434"/>
    </row>
    <row r="765">
      <c r="A765" s="434"/>
      <c r="B765" s="434"/>
      <c r="C765" s="434"/>
      <c r="D765" s="434"/>
      <c r="E765" s="434"/>
      <c r="F765" s="434"/>
      <c r="G765" s="434"/>
      <c r="H765" s="434"/>
      <c r="I765" s="434"/>
      <c r="J765" s="434"/>
      <c r="K765" s="434"/>
      <c r="L765" s="434"/>
      <c r="M765" s="434"/>
      <c r="N765" s="434"/>
      <c r="O765" s="434"/>
      <c r="P765" s="434"/>
      <c r="Q765" s="434"/>
      <c r="R765" s="434"/>
      <c r="S765" s="434"/>
      <c r="T765" s="434"/>
      <c r="U765" s="434"/>
    </row>
    <row r="766">
      <c r="A766" s="434"/>
      <c r="B766" s="434"/>
      <c r="C766" s="434"/>
      <c r="D766" s="434"/>
      <c r="E766" s="434"/>
      <c r="F766" s="434"/>
      <c r="G766" s="434"/>
      <c r="H766" s="434"/>
      <c r="I766" s="434"/>
      <c r="J766" s="434"/>
      <c r="K766" s="434"/>
      <c r="L766" s="434"/>
      <c r="M766" s="434"/>
      <c r="N766" s="434"/>
      <c r="O766" s="434"/>
      <c r="P766" s="434"/>
      <c r="Q766" s="434"/>
      <c r="R766" s="434"/>
      <c r="S766" s="434"/>
      <c r="T766" s="434"/>
      <c r="U766" s="434"/>
    </row>
    <row r="767">
      <c r="A767" s="434"/>
      <c r="B767" s="434"/>
      <c r="C767" s="434"/>
      <c r="D767" s="434"/>
      <c r="E767" s="434"/>
      <c r="F767" s="434"/>
      <c r="G767" s="434"/>
      <c r="H767" s="434"/>
      <c r="I767" s="434"/>
      <c r="J767" s="434"/>
      <c r="K767" s="434"/>
      <c r="L767" s="434"/>
      <c r="M767" s="434"/>
      <c r="N767" s="434"/>
      <c r="O767" s="434"/>
      <c r="P767" s="434"/>
      <c r="Q767" s="434"/>
      <c r="R767" s="434"/>
      <c r="S767" s="434"/>
      <c r="T767" s="434"/>
      <c r="U767" s="434"/>
    </row>
    <row r="768">
      <c r="A768" s="434"/>
      <c r="B768" s="434"/>
      <c r="C768" s="434"/>
      <c r="D768" s="434"/>
      <c r="E768" s="434"/>
      <c r="F768" s="434"/>
      <c r="G768" s="434"/>
      <c r="H768" s="434"/>
      <c r="I768" s="434"/>
      <c r="J768" s="434"/>
      <c r="K768" s="434"/>
      <c r="L768" s="434"/>
      <c r="M768" s="434"/>
      <c r="N768" s="434"/>
      <c r="O768" s="434"/>
      <c r="P768" s="434"/>
      <c r="Q768" s="434"/>
      <c r="R768" s="434"/>
      <c r="S768" s="434"/>
      <c r="T768" s="434"/>
      <c r="U768" s="434"/>
    </row>
    <row r="769">
      <c r="A769" s="434"/>
      <c r="B769" s="434"/>
      <c r="C769" s="434"/>
      <c r="D769" s="434"/>
      <c r="E769" s="434"/>
      <c r="F769" s="434"/>
      <c r="G769" s="434"/>
      <c r="H769" s="434"/>
      <c r="I769" s="434"/>
      <c r="J769" s="434"/>
      <c r="K769" s="434"/>
      <c r="L769" s="434"/>
      <c r="M769" s="434"/>
      <c r="N769" s="434"/>
      <c r="O769" s="434"/>
      <c r="P769" s="434"/>
      <c r="Q769" s="434"/>
      <c r="R769" s="434"/>
      <c r="S769" s="434"/>
      <c r="T769" s="434"/>
      <c r="U769" s="434"/>
    </row>
    <row r="770">
      <c r="A770" s="434"/>
      <c r="B770" s="434"/>
      <c r="C770" s="434"/>
      <c r="D770" s="434"/>
      <c r="E770" s="434"/>
      <c r="F770" s="434"/>
      <c r="G770" s="434"/>
      <c r="H770" s="434"/>
      <c r="I770" s="434"/>
      <c r="J770" s="434"/>
      <c r="K770" s="434"/>
      <c r="L770" s="434"/>
      <c r="M770" s="434"/>
      <c r="N770" s="434"/>
      <c r="O770" s="434"/>
      <c r="P770" s="434"/>
      <c r="Q770" s="434"/>
      <c r="R770" s="434"/>
      <c r="S770" s="434"/>
      <c r="T770" s="434"/>
      <c r="U770" s="434"/>
    </row>
    <row r="771">
      <c r="A771" s="434"/>
      <c r="B771" s="434"/>
      <c r="C771" s="434"/>
      <c r="D771" s="434"/>
      <c r="E771" s="434"/>
      <c r="F771" s="434"/>
      <c r="G771" s="434"/>
      <c r="H771" s="434"/>
      <c r="I771" s="434"/>
      <c r="J771" s="434"/>
      <c r="K771" s="434"/>
      <c r="L771" s="434"/>
      <c r="M771" s="434"/>
      <c r="N771" s="434"/>
      <c r="O771" s="434"/>
      <c r="P771" s="434"/>
      <c r="Q771" s="434"/>
      <c r="R771" s="434"/>
      <c r="S771" s="434"/>
      <c r="T771" s="434"/>
      <c r="U771" s="434"/>
    </row>
    <row r="772">
      <c r="A772" s="434"/>
      <c r="B772" s="434"/>
      <c r="C772" s="434"/>
      <c r="D772" s="434"/>
      <c r="E772" s="434"/>
      <c r="F772" s="434"/>
      <c r="G772" s="434"/>
      <c r="H772" s="434"/>
      <c r="I772" s="434"/>
      <c r="J772" s="434"/>
      <c r="K772" s="434"/>
      <c r="L772" s="434"/>
      <c r="M772" s="434"/>
      <c r="N772" s="434"/>
      <c r="O772" s="434"/>
      <c r="P772" s="434"/>
      <c r="Q772" s="434"/>
      <c r="R772" s="434"/>
      <c r="S772" s="434"/>
      <c r="T772" s="434"/>
      <c r="U772" s="434"/>
    </row>
    <row r="773">
      <c r="A773" s="434"/>
      <c r="B773" s="434"/>
      <c r="C773" s="434"/>
      <c r="D773" s="434"/>
      <c r="E773" s="434"/>
      <c r="F773" s="434"/>
      <c r="G773" s="434"/>
      <c r="H773" s="434"/>
      <c r="I773" s="434"/>
      <c r="J773" s="434"/>
      <c r="K773" s="434"/>
      <c r="L773" s="434"/>
      <c r="M773" s="434"/>
      <c r="N773" s="434"/>
      <c r="O773" s="434"/>
      <c r="P773" s="434"/>
      <c r="Q773" s="434"/>
      <c r="R773" s="434"/>
      <c r="S773" s="434"/>
      <c r="T773" s="434"/>
      <c r="U773" s="434"/>
    </row>
    <row r="774">
      <c r="A774" s="434"/>
      <c r="B774" s="434"/>
      <c r="C774" s="434"/>
      <c r="D774" s="434"/>
      <c r="E774" s="434"/>
      <c r="F774" s="434"/>
      <c r="G774" s="434"/>
      <c r="H774" s="434"/>
      <c r="I774" s="434"/>
      <c r="J774" s="434"/>
      <c r="K774" s="434"/>
      <c r="L774" s="434"/>
      <c r="M774" s="434"/>
      <c r="N774" s="434"/>
      <c r="O774" s="434"/>
      <c r="P774" s="434"/>
      <c r="Q774" s="434"/>
      <c r="R774" s="434"/>
      <c r="S774" s="434"/>
      <c r="T774" s="434"/>
      <c r="U774" s="434"/>
    </row>
    <row r="775">
      <c r="A775" s="434"/>
      <c r="B775" s="434"/>
      <c r="C775" s="434"/>
      <c r="D775" s="434"/>
      <c r="E775" s="434"/>
      <c r="F775" s="434"/>
      <c r="G775" s="434"/>
      <c r="H775" s="434"/>
      <c r="I775" s="434"/>
      <c r="J775" s="434"/>
      <c r="K775" s="434"/>
      <c r="L775" s="434"/>
      <c r="M775" s="434"/>
      <c r="N775" s="434"/>
      <c r="O775" s="434"/>
      <c r="P775" s="434"/>
      <c r="Q775" s="434"/>
      <c r="R775" s="434"/>
      <c r="S775" s="434"/>
      <c r="T775" s="434"/>
      <c r="U775" s="434"/>
    </row>
    <row r="776">
      <c r="A776" s="434"/>
      <c r="B776" s="434"/>
      <c r="C776" s="434"/>
      <c r="D776" s="434"/>
      <c r="E776" s="434"/>
      <c r="F776" s="434"/>
      <c r="G776" s="434"/>
      <c r="H776" s="434"/>
      <c r="I776" s="434"/>
      <c r="J776" s="434"/>
      <c r="K776" s="434"/>
      <c r="L776" s="434"/>
      <c r="M776" s="434"/>
      <c r="N776" s="434"/>
      <c r="O776" s="434"/>
      <c r="P776" s="434"/>
      <c r="Q776" s="434"/>
      <c r="R776" s="434"/>
      <c r="S776" s="434"/>
      <c r="T776" s="434"/>
      <c r="U776" s="434"/>
    </row>
    <row r="777">
      <c r="A777" s="434"/>
      <c r="B777" s="434"/>
      <c r="C777" s="434"/>
      <c r="D777" s="434"/>
      <c r="E777" s="434"/>
      <c r="F777" s="434"/>
      <c r="G777" s="434"/>
      <c r="H777" s="434"/>
      <c r="I777" s="434"/>
      <c r="J777" s="434"/>
      <c r="K777" s="434"/>
      <c r="L777" s="434"/>
      <c r="M777" s="434"/>
      <c r="N777" s="434"/>
      <c r="O777" s="434"/>
      <c r="P777" s="434"/>
      <c r="Q777" s="434"/>
      <c r="R777" s="434"/>
      <c r="S777" s="434"/>
      <c r="T777" s="434"/>
      <c r="U777" s="434"/>
    </row>
    <row r="778">
      <c r="A778" s="434"/>
      <c r="B778" s="434"/>
      <c r="C778" s="434"/>
      <c r="D778" s="434"/>
      <c r="E778" s="434"/>
      <c r="F778" s="434"/>
      <c r="G778" s="434"/>
      <c r="H778" s="434"/>
      <c r="I778" s="434"/>
      <c r="J778" s="434"/>
      <c r="K778" s="434"/>
      <c r="L778" s="434"/>
      <c r="M778" s="434"/>
      <c r="N778" s="434"/>
      <c r="O778" s="434"/>
      <c r="P778" s="434"/>
      <c r="Q778" s="434"/>
      <c r="R778" s="434"/>
      <c r="S778" s="434"/>
      <c r="T778" s="434"/>
      <c r="U778" s="434"/>
    </row>
    <row r="779">
      <c r="A779" s="434"/>
      <c r="B779" s="434"/>
      <c r="C779" s="434"/>
      <c r="D779" s="434"/>
      <c r="E779" s="434"/>
      <c r="F779" s="434"/>
      <c r="G779" s="434"/>
      <c r="H779" s="434"/>
      <c r="I779" s="434"/>
      <c r="J779" s="434"/>
      <c r="K779" s="434"/>
      <c r="L779" s="434"/>
      <c r="M779" s="434"/>
      <c r="N779" s="434"/>
      <c r="O779" s="434"/>
      <c r="P779" s="434"/>
      <c r="Q779" s="434"/>
      <c r="R779" s="434"/>
      <c r="S779" s="434"/>
      <c r="T779" s="434"/>
      <c r="U779" s="434"/>
    </row>
    <row r="780">
      <c r="A780" s="434"/>
      <c r="B780" s="434"/>
      <c r="C780" s="434"/>
      <c r="D780" s="434"/>
      <c r="E780" s="434"/>
      <c r="F780" s="434"/>
      <c r="G780" s="434"/>
      <c r="H780" s="434"/>
      <c r="I780" s="434"/>
      <c r="J780" s="434"/>
      <c r="K780" s="434"/>
      <c r="L780" s="434"/>
      <c r="M780" s="434"/>
      <c r="N780" s="434"/>
      <c r="O780" s="434"/>
      <c r="P780" s="434"/>
      <c r="Q780" s="434"/>
      <c r="R780" s="434"/>
      <c r="S780" s="434"/>
      <c r="T780" s="434"/>
      <c r="U780" s="434"/>
    </row>
    <row r="781">
      <c r="A781" s="434"/>
      <c r="B781" s="434"/>
      <c r="C781" s="434"/>
      <c r="D781" s="434"/>
      <c r="E781" s="434"/>
      <c r="F781" s="434"/>
      <c r="G781" s="434"/>
      <c r="H781" s="434"/>
      <c r="I781" s="434"/>
      <c r="J781" s="434"/>
      <c r="K781" s="434"/>
      <c r="L781" s="434"/>
      <c r="M781" s="434"/>
      <c r="N781" s="434"/>
      <c r="O781" s="434"/>
      <c r="P781" s="434"/>
      <c r="Q781" s="434"/>
      <c r="R781" s="434"/>
      <c r="S781" s="434"/>
      <c r="T781" s="434"/>
      <c r="U781" s="434"/>
    </row>
    <row r="782">
      <c r="A782" s="434"/>
      <c r="B782" s="434"/>
      <c r="C782" s="434"/>
      <c r="D782" s="434"/>
      <c r="E782" s="434"/>
      <c r="F782" s="434"/>
      <c r="G782" s="434"/>
      <c r="H782" s="434"/>
      <c r="I782" s="434"/>
      <c r="J782" s="434"/>
      <c r="K782" s="434"/>
      <c r="L782" s="434"/>
      <c r="M782" s="434"/>
      <c r="N782" s="434"/>
      <c r="O782" s="434"/>
      <c r="P782" s="434"/>
      <c r="Q782" s="434"/>
      <c r="R782" s="434"/>
      <c r="S782" s="434"/>
      <c r="T782" s="434"/>
      <c r="U782" s="434"/>
    </row>
    <row r="783">
      <c r="A783" s="434"/>
      <c r="B783" s="434"/>
      <c r="C783" s="434"/>
      <c r="D783" s="434"/>
      <c r="E783" s="434"/>
      <c r="F783" s="434"/>
      <c r="G783" s="434"/>
      <c r="H783" s="434"/>
      <c r="I783" s="434"/>
      <c r="J783" s="434"/>
      <c r="K783" s="434"/>
      <c r="L783" s="434"/>
      <c r="M783" s="434"/>
      <c r="N783" s="434"/>
      <c r="O783" s="434"/>
      <c r="P783" s="434"/>
      <c r="Q783" s="434"/>
      <c r="R783" s="434"/>
      <c r="S783" s="434"/>
      <c r="T783" s="434"/>
      <c r="U783" s="434"/>
    </row>
    <row r="784">
      <c r="A784" s="434"/>
      <c r="B784" s="434"/>
      <c r="C784" s="434"/>
      <c r="D784" s="434"/>
      <c r="E784" s="434"/>
      <c r="F784" s="434"/>
      <c r="G784" s="434"/>
      <c r="H784" s="434"/>
      <c r="I784" s="434"/>
      <c r="J784" s="434"/>
      <c r="K784" s="434"/>
      <c r="L784" s="434"/>
      <c r="M784" s="434"/>
      <c r="N784" s="434"/>
      <c r="O784" s="434"/>
      <c r="P784" s="434"/>
      <c r="Q784" s="434"/>
      <c r="R784" s="434"/>
      <c r="S784" s="434"/>
      <c r="T784" s="434"/>
      <c r="U784" s="434"/>
    </row>
    <row r="785">
      <c r="A785" s="434"/>
      <c r="B785" s="434"/>
      <c r="C785" s="434"/>
      <c r="D785" s="434"/>
      <c r="E785" s="434"/>
      <c r="F785" s="434"/>
      <c r="G785" s="434"/>
      <c r="H785" s="434"/>
      <c r="I785" s="434"/>
      <c r="J785" s="434"/>
      <c r="K785" s="434"/>
      <c r="L785" s="434"/>
      <c r="M785" s="434"/>
      <c r="N785" s="434"/>
      <c r="O785" s="434"/>
      <c r="P785" s="434"/>
      <c r="Q785" s="434"/>
      <c r="R785" s="434"/>
      <c r="S785" s="434"/>
      <c r="T785" s="434"/>
      <c r="U785" s="434"/>
    </row>
    <row r="786">
      <c r="A786" s="434"/>
      <c r="B786" s="434"/>
      <c r="C786" s="434"/>
      <c r="D786" s="434"/>
      <c r="E786" s="434"/>
      <c r="F786" s="434"/>
      <c r="G786" s="434"/>
      <c r="H786" s="434"/>
      <c r="I786" s="434"/>
      <c r="J786" s="434"/>
      <c r="K786" s="434"/>
      <c r="L786" s="434"/>
      <c r="M786" s="434"/>
      <c r="N786" s="434"/>
      <c r="O786" s="434"/>
      <c r="P786" s="434"/>
      <c r="Q786" s="434"/>
      <c r="R786" s="434"/>
      <c r="S786" s="434"/>
      <c r="T786" s="434"/>
      <c r="U786" s="434"/>
    </row>
    <row r="787">
      <c r="A787" s="434"/>
      <c r="B787" s="434"/>
      <c r="C787" s="434"/>
      <c r="D787" s="434"/>
      <c r="E787" s="434"/>
      <c r="F787" s="434"/>
      <c r="G787" s="434"/>
      <c r="H787" s="434"/>
      <c r="I787" s="434"/>
      <c r="J787" s="434"/>
      <c r="K787" s="434"/>
      <c r="L787" s="434"/>
      <c r="M787" s="434"/>
      <c r="N787" s="434"/>
      <c r="O787" s="434"/>
      <c r="P787" s="434"/>
      <c r="Q787" s="434"/>
      <c r="R787" s="434"/>
      <c r="S787" s="434"/>
      <c r="T787" s="434"/>
      <c r="U787" s="434"/>
    </row>
    <row r="788">
      <c r="A788" s="434"/>
      <c r="B788" s="434"/>
      <c r="C788" s="434"/>
      <c r="D788" s="434"/>
      <c r="E788" s="434"/>
      <c r="F788" s="434"/>
      <c r="G788" s="434"/>
      <c r="H788" s="434"/>
      <c r="I788" s="434"/>
      <c r="J788" s="434"/>
      <c r="K788" s="434"/>
      <c r="L788" s="434"/>
      <c r="M788" s="434"/>
      <c r="N788" s="434"/>
      <c r="O788" s="434"/>
      <c r="P788" s="434"/>
      <c r="Q788" s="434"/>
      <c r="R788" s="434"/>
      <c r="S788" s="434"/>
      <c r="T788" s="434"/>
      <c r="U788" s="434"/>
    </row>
    <row r="789">
      <c r="A789" s="434"/>
      <c r="B789" s="434"/>
      <c r="C789" s="434"/>
      <c r="D789" s="434"/>
      <c r="E789" s="434"/>
      <c r="F789" s="434"/>
      <c r="G789" s="434"/>
      <c r="H789" s="434"/>
      <c r="I789" s="434"/>
      <c r="J789" s="434"/>
      <c r="K789" s="434"/>
      <c r="L789" s="434"/>
      <c r="M789" s="434"/>
      <c r="N789" s="434"/>
      <c r="O789" s="434"/>
      <c r="P789" s="434"/>
      <c r="Q789" s="434"/>
      <c r="R789" s="434"/>
      <c r="S789" s="434"/>
      <c r="T789" s="434"/>
      <c r="U789" s="434"/>
    </row>
    <row r="790">
      <c r="A790" s="434"/>
      <c r="B790" s="434"/>
      <c r="C790" s="434"/>
      <c r="D790" s="434"/>
      <c r="E790" s="434"/>
      <c r="F790" s="434"/>
      <c r="G790" s="434"/>
      <c r="H790" s="434"/>
      <c r="I790" s="434"/>
      <c r="J790" s="434"/>
      <c r="K790" s="434"/>
      <c r="L790" s="434"/>
      <c r="M790" s="434"/>
      <c r="N790" s="434"/>
      <c r="O790" s="434"/>
      <c r="P790" s="434"/>
      <c r="Q790" s="434"/>
      <c r="R790" s="434"/>
      <c r="S790" s="434"/>
      <c r="T790" s="434"/>
      <c r="U790" s="434"/>
    </row>
    <row r="791">
      <c r="A791" s="434"/>
      <c r="B791" s="434"/>
      <c r="C791" s="434"/>
      <c r="D791" s="434"/>
      <c r="E791" s="434"/>
      <c r="F791" s="434"/>
      <c r="G791" s="434"/>
      <c r="H791" s="434"/>
      <c r="I791" s="434"/>
      <c r="J791" s="434"/>
      <c r="K791" s="434"/>
      <c r="L791" s="434"/>
      <c r="M791" s="434"/>
      <c r="N791" s="434"/>
      <c r="O791" s="434"/>
      <c r="P791" s="434"/>
      <c r="Q791" s="434"/>
      <c r="R791" s="434"/>
      <c r="S791" s="434"/>
      <c r="T791" s="434"/>
      <c r="U791" s="434"/>
    </row>
    <row r="792">
      <c r="A792" s="434"/>
      <c r="B792" s="434"/>
      <c r="C792" s="434"/>
      <c r="D792" s="434"/>
      <c r="E792" s="434"/>
      <c r="F792" s="434"/>
      <c r="G792" s="434"/>
      <c r="H792" s="434"/>
      <c r="I792" s="434"/>
      <c r="J792" s="434"/>
      <c r="K792" s="434"/>
      <c r="L792" s="434"/>
      <c r="M792" s="434"/>
      <c r="N792" s="434"/>
      <c r="O792" s="434"/>
      <c r="P792" s="434"/>
      <c r="Q792" s="434"/>
      <c r="R792" s="434"/>
      <c r="S792" s="434"/>
      <c r="T792" s="434"/>
      <c r="U792" s="434"/>
    </row>
    <row r="793">
      <c r="A793" s="434"/>
      <c r="B793" s="434"/>
      <c r="C793" s="434"/>
      <c r="D793" s="434"/>
      <c r="E793" s="434"/>
      <c r="F793" s="434"/>
      <c r="G793" s="434"/>
      <c r="H793" s="434"/>
      <c r="I793" s="434"/>
      <c r="J793" s="434"/>
      <c r="K793" s="434"/>
      <c r="L793" s="434"/>
      <c r="M793" s="434"/>
      <c r="N793" s="434"/>
      <c r="O793" s="434"/>
      <c r="P793" s="434"/>
      <c r="Q793" s="434"/>
      <c r="R793" s="434"/>
      <c r="S793" s="434"/>
      <c r="T793" s="434"/>
      <c r="U793" s="434"/>
    </row>
    <row r="794">
      <c r="A794" s="434"/>
      <c r="B794" s="434"/>
      <c r="C794" s="434"/>
      <c r="D794" s="434"/>
      <c r="E794" s="434"/>
      <c r="F794" s="434"/>
      <c r="G794" s="434"/>
      <c r="H794" s="434"/>
      <c r="I794" s="434"/>
      <c r="J794" s="434"/>
      <c r="K794" s="434"/>
      <c r="L794" s="434"/>
      <c r="M794" s="434"/>
      <c r="N794" s="434"/>
      <c r="O794" s="434"/>
      <c r="P794" s="434"/>
      <c r="Q794" s="434"/>
      <c r="R794" s="434"/>
      <c r="S794" s="434"/>
      <c r="T794" s="434"/>
      <c r="U794" s="434"/>
    </row>
    <row r="795">
      <c r="A795" s="434"/>
      <c r="B795" s="434"/>
      <c r="C795" s="434"/>
      <c r="D795" s="434"/>
      <c r="E795" s="434"/>
      <c r="F795" s="434"/>
      <c r="G795" s="434"/>
      <c r="H795" s="434"/>
      <c r="I795" s="434"/>
      <c r="J795" s="434"/>
      <c r="K795" s="434"/>
      <c r="L795" s="434"/>
      <c r="M795" s="434"/>
      <c r="N795" s="434"/>
      <c r="O795" s="434"/>
      <c r="P795" s="434"/>
      <c r="Q795" s="434"/>
      <c r="R795" s="434"/>
      <c r="S795" s="434"/>
      <c r="T795" s="434"/>
      <c r="U795" s="434"/>
    </row>
    <row r="796">
      <c r="A796" s="434"/>
      <c r="B796" s="434"/>
      <c r="C796" s="434"/>
      <c r="D796" s="434"/>
      <c r="E796" s="434"/>
      <c r="F796" s="434"/>
      <c r="G796" s="434"/>
      <c r="H796" s="434"/>
      <c r="I796" s="434"/>
      <c r="J796" s="434"/>
      <c r="K796" s="434"/>
      <c r="L796" s="434"/>
      <c r="M796" s="434"/>
      <c r="N796" s="434"/>
      <c r="O796" s="434"/>
      <c r="P796" s="434"/>
      <c r="Q796" s="434"/>
      <c r="R796" s="434"/>
      <c r="S796" s="434"/>
      <c r="T796" s="434"/>
      <c r="U796" s="434"/>
    </row>
    <row r="797">
      <c r="A797" s="434"/>
      <c r="B797" s="434"/>
      <c r="C797" s="434"/>
      <c r="D797" s="434"/>
      <c r="E797" s="434"/>
      <c r="F797" s="434"/>
      <c r="G797" s="434"/>
      <c r="H797" s="434"/>
      <c r="I797" s="434"/>
      <c r="J797" s="434"/>
      <c r="K797" s="434"/>
      <c r="L797" s="434"/>
      <c r="M797" s="434"/>
      <c r="N797" s="434"/>
      <c r="O797" s="434"/>
      <c r="P797" s="434"/>
      <c r="Q797" s="434"/>
      <c r="R797" s="434"/>
      <c r="S797" s="434"/>
      <c r="T797" s="434"/>
      <c r="U797" s="434"/>
    </row>
    <row r="798">
      <c r="A798" s="434"/>
      <c r="B798" s="434"/>
      <c r="C798" s="434"/>
      <c r="D798" s="434"/>
      <c r="E798" s="434"/>
      <c r="F798" s="434"/>
      <c r="G798" s="434"/>
      <c r="H798" s="434"/>
      <c r="I798" s="434"/>
      <c r="J798" s="434"/>
      <c r="K798" s="434"/>
      <c r="L798" s="434"/>
      <c r="M798" s="434"/>
      <c r="N798" s="434"/>
      <c r="O798" s="434"/>
      <c r="P798" s="434"/>
      <c r="Q798" s="434"/>
      <c r="R798" s="434"/>
      <c r="S798" s="434"/>
      <c r="T798" s="434"/>
      <c r="U798" s="434"/>
    </row>
    <row r="799">
      <c r="A799" s="434"/>
      <c r="B799" s="434"/>
      <c r="C799" s="434"/>
      <c r="D799" s="434"/>
      <c r="E799" s="434"/>
      <c r="F799" s="434"/>
      <c r="G799" s="434"/>
      <c r="H799" s="434"/>
      <c r="I799" s="434"/>
      <c r="J799" s="434"/>
      <c r="K799" s="434"/>
      <c r="L799" s="434"/>
      <c r="M799" s="434"/>
      <c r="N799" s="434"/>
      <c r="O799" s="434"/>
      <c r="P799" s="434"/>
      <c r="Q799" s="434"/>
      <c r="R799" s="434"/>
      <c r="S799" s="434"/>
      <c r="T799" s="434"/>
      <c r="U799" s="434"/>
    </row>
    <row r="800">
      <c r="A800" s="434"/>
      <c r="B800" s="434"/>
      <c r="C800" s="434"/>
      <c r="D800" s="434"/>
      <c r="E800" s="434"/>
      <c r="F800" s="434"/>
      <c r="G800" s="434"/>
      <c r="H800" s="434"/>
      <c r="I800" s="434"/>
      <c r="J800" s="434"/>
      <c r="K800" s="434"/>
      <c r="L800" s="434"/>
      <c r="M800" s="434"/>
      <c r="N800" s="434"/>
      <c r="O800" s="434"/>
      <c r="P800" s="434"/>
      <c r="Q800" s="434"/>
      <c r="R800" s="434"/>
      <c r="S800" s="434"/>
      <c r="T800" s="434"/>
      <c r="U800" s="434"/>
    </row>
    <row r="801">
      <c r="A801" s="434"/>
      <c r="B801" s="434"/>
      <c r="C801" s="434"/>
      <c r="D801" s="434"/>
      <c r="E801" s="434"/>
      <c r="F801" s="434"/>
      <c r="G801" s="434"/>
      <c r="H801" s="434"/>
      <c r="I801" s="434"/>
      <c r="J801" s="434"/>
      <c r="K801" s="434"/>
      <c r="L801" s="434"/>
      <c r="M801" s="434"/>
      <c r="N801" s="434"/>
      <c r="O801" s="434"/>
      <c r="P801" s="434"/>
      <c r="Q801" s="434"/>
      <c r="R801" s="434"/>
      <c r="S801" s="434"/>
      <c r="T801" s="434"/>
      <c r="U801" s="434"/>
    </row>
    <row r="802">
      <c r="A802" s="434"/>
      <c r="B802" s="434"/>
      <c r="C802" s="434"/>
      <c r="D802" s="434"/>
      <c r="E802" s="434"/>
      <c r="F802" s="434"/>
      <c r="G802" s="434"/>
      <c r="H802" s="434"/>
      <c r="I802" s="434"/>
      <c r="J802" s="434"/>
      <c r="K802" s="434"/>
      <c r="L802" s="434"/>
      <c r="M802" s="434"/>
      <c r="N802" s="434"/>
      <c r="O802" s="434"/>
      <c r="P802" s="434"/>
      <c r="Q802" s="434"/>
      <c r="R802" s="434"/>
      <c r="S802" s="434"/>
      <c r="T802" s="434"/>
      <c r="U802" s="434"/>
    </row>
    <row r="803">
      <c r="A803" s="434"/>
      <c r="B803" s="434"/>
      <c r="C803" s="434"/>
      <c r="D803" s="434"/>
      <c r="E803" s="434"/>
      <c r="F803" s="434"/>
      <c r="G803" s="434"/>
      <c r="H803" s="434"/>
      <c r="I803" s="434"/>
      <c r="J803" s="434"/>
      <c r="K803" s="434"/>
      <c r="L803" s="434"/>
      <c r="M803" s="434"/>
      <c r="N803" s="434"/>
      <c r="O803" s="434"/>
      <c r="P803" s="434"/>
      <c r="Q803" s="434"/>
      <c r="R803" s="434"/>
      <c r="S803" s="434"/>
      <c r="T803" s="434"/>
      <c r="U803" s="434"/>
    </row>
    <row r="804">
      <c r="A804" s="434"/>
      <c r="B804" s="434"/>
      <c r="C804" s="434"/>
      <c r="D804" s="434"/>
      <c r="E804" s="434"/>
      <c r="F804" s="434"/>
      <c r="G804" s="434"/>
      <c r="H804" s="434"/>
      <c r="I804" s="434"/>
      <c r="J804" s="434"/>
      <c r="K804" s="434"/>
      <c r="L804" s="434"/>
      <c r="M804" s="434"/>
      <c r="N804" s="434"/>
      <c r="O804" s="434"/>
      <c r="P804" s="434"/>
      <c r="Q804" s="434"/>
      <c r="R804" s="434"/>
      <c r="S804" s="434"/>
      <c r="T804" s="434"/>
      <c r="U804" s="434"/>
    </row>
    <row r="805">
      <c r="A805" s="434"/>
      <c r="B805" s="434"/>
      <c r="C805" s="434"/>
      <c r="D805" s="434"/>
      <c r="E805" s="434"/>
      <c r="F805" s="434"/>
      <c r="G805" s="434"/>
      <c r="H805" s="434"/>
      <c r="I805" s="434"/>
      <c r="J805" s="434"/>
      <c r="K805" s="434"/>
      <c r="L805" s="434"/>
      <c r="M805" s="434"/>
      <c r="N805" s="434"/>
      <c r="O805" s="434"/>
      <c r="P805" s="434"/>
      <c r="Q805" s="434"/>
      <c r="R805" s="434"/>
      <c r="S805" s="434"/>
      <c r="T805" s="434"/>
      <c r="U805" s="434"/>
    </row>
    <row r="806">
      <c r="A806" s="434"/>
      <c r="B806" s="434"/>
      <c r="C806" s="434"/>
      <c r="D806" s="434"/>
      <c r="E806" s="434"/>
      <c r="F806" s="434"/>
      <c r="G806" s="434"/>
      <c r="H806" s="434"/>
      <c r="I806" s="434"/>
      <c r="J806" s="434"/>
      <c r="K806" s="434"/>
      <c r="L806" s="434"/>
      <c r="M806" s="434"/>
      <c r="N806" s="434"/>
      <c r="O806" s="434"/>
      <c r="P806" s="434"/>
      <c r="Q806" s="434"/>
      <c r="R806" s="434"/>
      <c r="S806" s="434"/>
      <c r="T806" s="434"/>
      <c r="U806" s="434"/>
    </row>
    <row r="807">
      <c r="A807" s="434"/>
      <c r="B807" s="434"/>
      <c r="C807" s="434"/>
      <c r="D807" s="434"/>
      <c r="E807" s="434"/>
      <c r="F807" s="434"/>
      <c r="G807" s="434"/>
      <c r="H807" s="434"/>
      <c r="I807" s="434"/>
      <c r="J807" s="434"/>
      <c r="K807" s="434"/>
      <c r="L807" s="434"/>
      <c r="M807" s="434"/>
      <c r="N807" s="434"/>
      <c r="O807" s="434"/>
      <c r="P807" s="434"/>
      <c r="Q807" s="434"/>
      <c r="R807" s="434"/>
      <c r="S807" s="434"/>
      <c r="T807" s="434"/>
      <c r="U807" s="434"/>
    </row>
    <row r="808">
      <c r="A808" s="434"/>
      <c r="B808" s="434"/>
      <c r="C808" s="434"/>
      <c r="D808" s="434"/>
      <c r="E808" s="434"/>
      <c r="F808" s="434"/>
      <c r="G808" s="434"/>
      <c r="H808" s="434"/>
      <c r="I808" s="434"/>
      <c r="J808" s="434"/>
      <c r="K808" s="434"/>
      <c r="L808" s="434"/>
      <c r="M808" s="434"/>
      <c r="N808" s="434"/>
      <c r="O808" s="434"/>
      <c r="P808" s="434"/>
      <c r="Q808" s="434"/>
      <c r="R808" s="434"/>
      <c r="S808" s="434"/>
      <c r="T808" s="434"/>
      <c r="U808" s="434"/>
    </row>
    <row r="809">
      <c r="A809" s="434"/>
      <c r="B809" s="434"/>
      <c r="C809" s="434"/>
      <c r="D809" s="434"/>
      <c r="E809" s="434"/>
      <c r="F809" s="434"/>
      <c r="G809" s="434"/>
      <c r="H809" s="434"/>
      <c r="I809" s="434"/>
      <c r="J809" s="434"/>
      <c r="K809" s="434"/>
      <c r="L809" s="434"/>
      <c r="M809" s="434"/>
      <c r="N809" s="434"/>
      <c r="O809" s="434"/>
      <c r="P809" s="434"/>
      <c r="Q809" s="434"/>
      <c r="R809" s="434"/>
      <c r="S809" s="434"/>
      <c r="T809" s="434"/>
      <c r="U809" s="434"/>
    </row>
    <row r="810">
      <c r="A810" s="434"/>
      <c r="B810" s="434"/>
      <c r="C810" s="434"/>
      <c r="D810" s="434"/>
      <c r="E810" s="434"/>
      <c r="F810" s="434"/>
      <c r="G810" s="434"/>
      <c r="H810" s="434"/>
      <c r="I810" s="434"/>
      <c r="J810" s="434"/>
      <c r="K810" s="434"/>
      <c r="L810" s="434"/>
      <c r="M810" s="434"/>
      <c r="N810" s="434"/>
      <c r="O810" s="434"/>
      <c r="P810" s="434"/>
      <c r="Q810" s="434"/>
      <c r="R810" s="434"/>
      <c r="S810" s="434"/>
      <c r="T810" s="434"/>
      <c r="U810" s="434"/>
    </row>
    <row r="811">
      <c r="A811" s="434"/>
      <c r="B811" s="434"/>
      <c r="C811" s="434"/>
      <c r="D811" s="434"/>
      <c r="E811" s="434"/>
      <c r="F811" s="434"/>
      <c r="G811" s="434"/>
      <c r="H811" s="434"/>
      <c r="I811" s="434"/>
      <c r="J811" s="434"/>
      <c r="K811" s="434"/>
      <c r="L811" s="434"/>
      <c r="M811" s="434"/>
      <c r="N811" s="434"/>
      <c r="O811" s="434"/>
      <c r="P811" s="434"/>
      <c r="Q811" s="434"/>
      <c r="R811" s="434"/>
      <c r="S811" s="434"/>
      <c r="T811" s="434"/>
      <c r="U811" s="434"/>
    </row>
    <row r="812">
      <c r="A812" s="434"/>
      <c r="B812" s="434"/>
      <c r="C812" s="434"/>
      <c r="D812" s="434"/>
      <c r="E812" s="434"/>
      <c r="F812" s="434"/>
      <c r="G812" s="434"/>
      <c r="H812" s="434"/>
      <c r="I812" s="434"/>
      <c r="J812" s="434"/>
      <c r="K812" s="434"/>
      <c r="L812" s="434"/>
      <c r="M812" s="434"/>
      <c r="N812" s="434"/>
      <c r="O812" s="434"/>
      <c r="P812" s="434"/>
      <c r="Q812" s="434"/>
      <c r="R812" s="434"/>
      <c r="S812" s="434"/>
      <c r="T812" s="434"/>
      <c r="U812" s="434"/>
    </row>
    <row r="813">
      <c r="A813" s="434"/>
      <c r="B813" s="434"/>
      <c r="C813" s="434"/>
      <c r="D813" s="434"/>
      <c r="E813" s="434"/>
      <c r="F813" s="434"/>
      <c r="G813" s="434"/>
      <c r="H813" s="434"/>
      <c r="I813" s="434"/>
      <c r="J813" s="434"/>
      <c r="K813" s="434"/>
      <c r="L813" s="434"/>
      <c r="M813" s="434"/>
      <c r="N813" s="434"/>
      <c r="O813" s="434"/>
      <c r="P813" s="434"/>
      <c r="Q813" s="434"/>
      <c r="R813" s="434"/>
      <c r="S813" s="434"/>
      <c r="T813" s="434"/>
      <c r="U813" s="434"/>
    </row>
    <row r="814">
      <c r="A814" s="434"/>
      <c r="B814" s="434"/>
      <c r="C814" s="434"/>
      <c r="D814" s="434"/>
      <c r="E814" s="434"/>
      <c r="F814" s="434"/>
      <c r="G814" s="434"/>
      <c r="H814" s="434"/>
      <c r="I814" s="434"/>
      <c r="J814" s="434"/>
      <c r="K814" s="434"/>
      <c r="L814" s="434"/>
      <c r="M814" s="434"/>
      <c r="N814" s="434"/>
      <c r="O814" s="434"/>
      <c r="P814" s="434"/>
      <c r="Q814" s="434"/>
      <c r="R814" s="434"/>
      <c r="S814" s="434"/>
      <c r="T814" s="434"/>
      <c r="U814" s="434"/>
    </row>
    <row r="815">
      <c r="A815" s="434"/>
      <c r="B815" s="434"/>
      <c r="C815" s="434"/>
      <c r="D815" s="434"/>
      <c r="E815" s="434"/>
      <c r="F815" s="434"/>
      <c r="G815" s="434"/>
      <c r="H815" s="434"/>
      <c r="I815" s="434"/>
      <c r="J815" s="434"/>
      <c r="K815" s="434"/>
      <c r="L815" s="434"/>
      <c r="M815" s="434"/>
      <c r="N815" s="434"/>
      <c r="O815" s="434"/>
      <c r="P815" s="434"/>
      <c r="Q815" s="434"/>
      <c r="R815" s="434"/>
      <c r="S815" s="434"/>
      <c r="T815" s="434"/>
      <c r="U815" s="434"/>
    </row>
    <row r="816">
      <c r="A816" s="434"/>
      <c r="B816" s="434"/>
      <c r="C816" s="434"/>
      <c r="D816" s="434"/>
      <c r="E816" s="434"/>
      <c r="F816" s="434"/>
      <c r="G816" s="434"/>
      <c r="H816" s="434"/>
      <c r="I816" s="434"/>
      <c r="J816" s="434"/>
      <c r="K816" s="434"/>
      <c r="L816" s="434"/>
      <c r="M816" s="434"/>
      <c r="N816" s="434"/>
      <c r="O816" s="434"/>
      <c r="P816" s="434"/>
      <c r="Q816" s="434"/>
      <c r="R816" s="434"/>
      <c r="S816" s="434"/>
      <c r="T816" s="434"/>
      <c r="U816" s="434"/>
    </row>
    <row r="817">
      <c r="A817" s="434"/>
      <c r="B817" s="434"/>
      <c r="C817" s="434"/>
      <c r="D817" s="434"/>
      <c r="E817" s="434"/>
      <c r="F817" s="434"/>
      <c r="G817" s="434"/>
      <c r="H817" s="434"/>
      <c r="I817" s="434"/>
      <c r="J817" s="434"/>
      <c r="K817" s="434"/>
      <c r="L817" s="434"/>
      <c r="M817" s="434"/>
      <c r="N817" s="434"/>
      <c r="O817" s="434"/>
      <c r="P817" s="434"/>
      <c r="Q817" s="434"/>
      <c r="R817" s="434"/>
      <c r="S817" s="434"/>
      <c r="T817" s="434"/>
      <c r="U817" s="434"/>
    </row>
    <row r="818">
      <c r="A818" s="434"/>
      <c r="B818" s="434"/>
      <c r="C818" s="434"/>
      <c r="D818" s="434"/>
      <c r="E818" s="434"/>
      <c r="F818" s="434"/>
      <c r="G818" s="434"/>
      <c r="H818" s="434"/>
      <c r="I818" s="434"/>
      <c r="J818" s="434"/>
      <c r="K818" s="434"/>
      <c r="L818" s="434"/>
      <c r="M818" s="434"/>
      <c r="N818" s="434"/>
      <c r="O818" s="434"/>
      <c r="P818" s="434"/>
      <c r="Q818" s="434"/>
      <c r="R818" s="434"/>
      <c r="S818" s="434"/>
      <c r="T818" s="434"/>
      <c r="U818" s="434"/>
    </row>
    <row r="819">
      <c r="A819" s="434"/>
      <c r="B819" s="434"/>
      <c r="C819" s="434"/>
      <c r="D819" s="434"/>
      <c r="E819" s="434"/>
      <c r="F819" s="434"/>
      <c r="G819" s="434"/>
      <c r="H819" s="434"/>
      <c r="I819" s="434"/>
      <c r="J819" s="434"/>
      <c r="K819" s="434"/>
      <c r="L819" s="434"/>
      <c r="M819" s="434"/>
      <c r="N819" s="434"/>
      <c r="O819" s="434"/>
      <c r="P819" s="434"/>
      <c r="Q819" s="434"/>
      <c r="R819" s="434"/>
      <c r="S819" s="434"/>
      <c r="T819" s="434"/>
      <c r="U819" s="434"/>
    </row>
    <row r="820">
      <c r="A820" s="434"/>
      <c r="B820" s="434"/>
      <c r="C820" s="434"/>
      <c r="D820" s="434"/>
      <c r="E820" s="434"/>
      <c r="F820" s="434"/>
      <c r="G820" s="434"/>
      <c r="H820" s="434"/>
      <c r="I820" s="434"/>
      <c r="J820" s="434"/>
      <c r="K820" s="434"/>
      <c r="L820" s="434"/>
      <c r="M820" s="434"/>
      <c r="N820" s="434"/>
      <c r="O820" s="434"/>
      <c r="P820" s="434"/>
      <c r="Q820" s="434"/>
      <c r="R820" s="434"/>
      <c r="S820" s="434"/>
      <c r="T820" s="434"/>
      <c r="U820" s="434"/>
    </row>
    <row r="821">
      <c r="A821" s="434"/>
      <c r="B821" s="434"/>
      <c r="C821" s="434"/>
      <c r="D821" s="434"/>
      <c r="E821" s="434"/>
      <c r="F821" s="434"/>
      <c r="G821" s="434"/>
      <c r="H821" s="434"/>
      <c r="I821" s="434"/>
      <c r="J821" s="434"/>
      <c r="K821" s="434"/>
      <c r="L821" s="434"/>
      <c r="M821" s="434"/>
      <c r="N821" s="434"/>
      <c r="O821" s="434"/>
      <c r="P821" s="434"/>
      <c r="Q821" s="434"/>
      <c r="R821" s="434"/>
      <c r="S821" s="434"/>
      <c r="T821" s="434"/>
      <c r="U821" s="434"/>
    </row>
    <row r="822">
      <c r="A822" s="434"/>
      <c r="B822" s="434"/>
      <c r="C822" s="434"/>
      <c r="D822" s="434"/>
      <c r="E822" s="434"/>
      <c r="F822" s="434"/>
      <c r="G822" s="434"/>
      <c r="H822" s="434"/>
      <c r="I822" s="434"/>
      <c r="J822" s="434"/>
      <c r="K822" s="434"/>
      <c r="L822" s="434"/>
      <c r="M822" s="434"/>
      <c r="N822" s="434"/>
      <c r="O822" s="434"/>
      <c r="P822" s="434"/>
      <c r="Q822" s="434"/>
      <c r="R822" s="434"/>
      <c r="S822" s="434"/>
      <c r="T822" s="434"/>
      <c r="U822" s="434"/>
    </row>
    <row r="823">
      <c r="A823" s="434"/>
      <c r="B823" s="434"/>
      <c r="C823" s="434"/>
      <c r="D823" s="434"/>
      <c r="E823" s="434"/>
      <c r="F823" s="434"/>
      <c r="G823" s="434"/>
      <c r="H823" s="434"/>
      <c r="I823" s="434"/>
      <c r="J823" s="434"/>
      <c r="K823" s="434"/>
      <c r="L823" s="434"/>
      <c r="M823" s="434"/>
      <c r="N823" s="434"/>
      <c r="O823" s="434"/>
      <c r="P823" s="434"/>
      <c r="Q823" s="434"/>
      <c r="R823" s="434"/>
      <c r="S823" s="434"/>
      <c r="T823" s="434"/>
      <c r="U823" s="434"/>
    </row>
    <row r="824">
      <c r="A824" s="434"/>
      <c r="B824" s="434"/>
      <c r="C824" s="434"/>
      <c r="D824" s="434"/>
      <c r="E824" s="434"/>
      <c r="F824" s="434"/>
      <c r="G824" s="434"/>
      <c r="H824" s="434"/>
      <c r="I824" s="434"/>
      <c r="J824" s="434"/>
      <c r="K824" s="434"/>
      <c r="L824" s="434"/>
      <c r="M824" s="434"/>
      <c r="N824" s="434"/>
      <c r="O824" s="434"/>
      <c r="P824" s="434"/>
      <c r="Q824" s="434"/>
      <c r="R824" s="434"/>
      <c r="S824" s="434"/>
      <c r="T824" s="434"/>
      <c r="U824" s="434"/>
    </row>
    <row r="825">
      <c r="A825" s="434"/>
      <c r="B825" s="434"/>
      <c r="C825" s="434"/>
      <c r="D825" s="434"/>
      <c r="E825" s="434"/>
      <c r="F825" s="434"/>
      <c r="G825" s="434"/>
      <c r="H825" s="434"/>
      <c r="I825" s="434"/>
      <c r="J825" s="434"/>
      <c r="K825" s="434"/>
      <c r="L825" s="434"/>
      <c r="M825" s="434"/>
      <c r="N825" s="434"/>
      <c r="O825" s="434"/>
      <c r="P825" s="434"/>
      <c r="Q825" s="434"/>
      <c r="R825" s="434"/>
      <c r="S825" s="434"/>
      <c r="T825" s="434"/>
      <c r="U825" s="434"/>
    </row>
    <row r="826">
      <c r="A826" s="434"/>
      <c r="B826" s="434"/>
      <c r="C826" s="434"/>
      <c r="D826" s="434"/>
      <c r="E826" s="434"/>
      <c r="F826" s="434"/>
      <c r="G826" s="434"/>
      <c r="H826" s="434"/>
      <c r="I826" s="434"/>
      <c r="J826" s="434"/>
      <c r="K826" s="434"/>
      <c r="L826" s="434"/>
      <c r="M826" s="434"/>
      <c r="N826" s="434"/>
      <c r="O826" s="434"/>
      <c r="P826" s="434"/>
      <c r="Q826" s="434"/>
      <c r="R826" s="434"/>
      <c r="S826" s="434"/>
      <c r="T826" s="434"/>
      <c r="U826" s="434"/>
    </row>
    <row r="827">
      <c r="A827" s="434"/>
      <c r="B827" s="434"/>
      <c r="C827" s="434"/>
      <c r="D827" s="434"/>
      <c r="E827" s="434"/>
      <c r="F827" s="434"/>
      <c r="G827" s="434"/>
      <c r="H827" s="434"/>
      <c r="I827" s="434"/>
      <c r="J827" s="434"/>
      <c r="K827" s="434"/>
      <c r="L827" s="434"/>
      <c r="M827" s="434"/>
      <c r="N827" s="434"/>
      <c r="O827" s="434"/>
      <c r="P827" s="434"/>
      <c r="Q827" s="434"/>
      <c r="R827" s="434"/>
      <c r="S827" s="434"/>
      <c r="T827" s="434"/>
      <c r="U827" s="434"/>
    </row>
    <row r="828">
      <c r="A828" s="434"/>
      <c r="B828" s="434"/>
      <c r="C828" s="434"/>
      <c r="D828" s="434"/>
      <c r="E828" s="434"/>
      <c r="F828" s="434"/>
      <c r="G828" s="434"/>
      <c r="H828" s="434"/>
      <c r="I828" s="434"/>
      <c r="J828" s="434"/>
      <c r="K828" s="434"/>
      <c r="L828" s="434"/>
      <c r="M828" s="434"/>
      <c r="N828" s="434"/>
      <c r="O828" s="434"/>
      <c r="P828" s="434"/>
      <c r="Q828" s="434"/>
      <c r="R828" s="434"/>
      <c r="S828" s="434"/>
      <c r="T828" s="434"/>
      <c r="U828" s="434"/>
    </row>
    <row r="829">
      <c r="A829" s="434"/>
      <c r="B829" s="434"/>
      <c r="C829" s="434"/>
      <c r="D829" s="434"/>
      <c r="E829" s="434"/>
      <c r="F829" s="434"/>
      <c r="G829" s="434"/>
      <c r="H829" s="434"/>
      <c r="I829" s="434"/>
      <c r="J829" s="434"/>
      <c r="K829" s="434"/>
      <c r="L829" s="434"/>
      <c r="M829" s="434"/>
      <c r="N829" s="434"/>
      <c r="O829" s="434"/>
      <c r="P829" s="434"/>
      <c r="Q829" s="434"/>
      <c r="R829" s="434"/>
      <c r="S829" s="434"/>
      <c r="T829" s="434"/>
      <c r="U829" s="434"/>
    </row>
    <row r="830">
      <c r="A830" s="434"/>
      <c r="B830" s="434"/>
      <c r="C830" s="434"/>
      <c r="D830" s="434"/>
      <c r="E830" s="434"/>
      <c r="F830" s="434"/>
      <c r="G830" s="434"/>
      <c r="H830" s="434"/>
      <c r="I830" s="434"/>
      <c r="J830" s="434"/>
      <c r="K830" s="434"/>
      <c r="L830" s="434"/>
      <c r="M830" s="434"/>
      <c r="N830" s="434"/>
      <c r="O830" s="434"/>
      <c r="P830" s="434"/>
      <c r="Q830" s="434"/>
      <c r="R830" s="434"/>
      <c r="S830" s="434"/>
      <c r="T830" s="434"/>
      <c r="U830" s="434"/>
    </row>
    <row r="831">
      <c r="A831" s="434"/>
      <c r="B831" s="434"/>
      <c r="C831" s="434"/>
      <c r="D831" s="434"/>
      <c r="E831" s="434"/>
      <c r="F831" s="434"/>
      <c r="G831" s="434"/>
      <c r="H831" s="434"/>
      <c r="I831" s="434"/>
      <c r="J831" s="434"/>
      <c r="K831" s="434"/>
      <c r="L831" s="434"/>
      <c r="M831" s="434"/>
      <c r="N831" s="434"/>
      <c r="O831" s="434"/>
      <c r="P831" s="434"/>
      <c r="Q831" s="434"/>
      <c r="R831" s="434"/>
      <c r="S831" s="434"/>
      <c r="T831" s="434"/>
      <c r="U831" s="434"/>
    </row>
    <row r="832">
      <c r="A832" s="434"/>
      <c r="B832" s="434"/>
      <c r="C832" s="434"/>
      <c r="D832" s="434"/>
      <c r="E832" s="434"/>
      <c r="F832" s="434"/>
      <c r="G832" s="434"/>
      <c r="H832" s="434"/>
      <c r="I832" s="434"/>
      <c r="J832" s="434"/>
      <c r="K832" s="434"/>
      <c r="L832" s="434"/>
      <c r="M832" s="434"/>
      <c r="N832" s="434"/>
      <c r="O832" s="434"/>
      <c r="P832" s="434"/>
      <c r="Q832" s="434"/>
      <c r="R832" s="434"/>
      <c r="S832" s="434"/>
      <c r="T832" s="434"/>
      <c r="U832" s="434"/>
    </row>
    <row r="833">
      <c r="A833" s="434"/>
      <c r="B833" s="434"/>
      <c r="C833" s="434"/>
      <c r="D833" s="434"/>
      <c r="E833" s="434"/>
      <c r="F833" s="434"/>
      <c r="G833" s="434"/>
      <c r="H833" s="434"/>
      <c r="I833" s="434"/>
      <c r="J833" s="434"/>
      <c r="K833" s="434"/>
      <c r="L833" s="434"/>
      <c r="M833" s="434"/>
      <c r="N833" s="434"/>
      <c r="O833" s="434"/>
      <c r="P833" s="434"/>
      <c r="Q833" s="434"/>
      <c r="R833" s="434"/>
      <c r="S833" s="434"/>
      <c r="T833" s="434"/>
      <c r="U833" s="434"/>
    </row>
    <row r="834">
      <c r="A834" s="434"/>
      <c r="B834" s="434"/>
      <c r="C834" s="434"/>
      <c r="D834" s="434"/>
      <c r="E834" s="434"/>
      <c r="F834" s="434"/>
      <c r="G834" s="434"/>
      <c r="H834" s="434"/>
      <c r="I834" s="434"/>
      <c r="J834" s="434"/>
      <c r="K834" s="434"/>
      <c r="L834" s="434"/>
      <c r="M834" s="434"/>
      <c r="N834" s="434"/>
      <c r="O834" s="434"/>
      <c r="P834" s="434"/>
      <c r="Q834" s="434"/>
      <c r="R834" s="434"/>
      <c r="S834" s="434"/>
      <c r="T834" s="434"/>
      <c r="U834" s="434"/>
    </row>
    <row r="835">
      <c r="A835" s="434"/>
      <c r="B835" s="434"/>
      <c r="C835" s="434"/>
      <c r="D835" s="434"/>
      <c r="E835" s="434"/>
      <c r="F835" s="434"/>
      <c r="G835" s="434"/>
      <c r="H835" s="434"/>
      <c r="I835" s="434"/>
      <c r="J835" s="434"/>
      <c r="K835" s="434"/>
      <c r="L835" s="434"/>
      <c r="M835" s="434"/>
      <c r="N835" s="434"/>
      <c r="O835" s="434"/>
      <c r="P835" s="434"/>
      <c r="Q835" s="434"/>
      <c r="R835" s="434"/>
      <c r="S835" s="434"/>
      <c r="T835" s="434"/>
      <c r="U835" s="434"/>
    </row>
    <row r="836">
      <c r="A836" s="434"/>
      <c r="B836" s="434"/>
      <c r="C836" s="434"/>
      <c r="D836" s="434"/>
      <c r="E836" s="434"/>
      <c r="F836" s="434"/>
      <c r="G836" s="434"/>
      <c r="H836" s="434"/>
      <c r="I836" s="434"/>
      <c r="J836" s="434"/>
      <c r="K836" s="434"/>
      <c r="L836" s="434"/>
      <c r="M836" s="434"/>
      <c r="N836" s="434"/>
      <c r="O836" s="434"/>
      <c r="P836" s="434"/>
      <c r="Q836" s="434"/>
      <c r="R836" s="434"/>
      <c r="S836" s="434"/>
      <c r="T836" s="434"/>
      <c r="U836" s="434"/>
    </row>
    <row r="837">
      <c r="A837" s="434"/>
      <c r="B837" s="434"/>
      <c r="C837" s="434"/>
      <c r="D837" s="434"/>
      <c r="E837" s="434"/>
      <c r="F837" s="434"/>
      <c r="G837" s="434"/>
      <c r="H837" s="434"/>
      <c r="I837" s="434"/>
      <c r="J837" s="434"/>
      <c r="K837" s="434"/>
      <c r="L837" s="434"/>
      <c r="M837" s="434"/>
      <c r="N837" s="434"/>
      <c r="O837" s="434"/>
      <c r="P837" s="434"/>
      <c r="Q837" s="434"/>
      <c r="R837" s="434"/>
      <c r="S837" s="434"/>
      <c r="T837" s="434"/>
      <c r="U837" s="434"/>
    </row>
    <row r="838">
      <c r="A838" s="434"/>
      <c r="B838" s="434"/>
      <c r="C838" s="434"/>
      <c r="D838" s="434"/>
      <c r="E838" s="434"/>
      <c r="F838" s="434"/>
      <c r="G838" s="434"/>
      <c r="H838" s="434"/>
      <c r="I838" s="434"/>
      <c r="J838" s="434"/>
      <c r="K838" s="434"/>
      <c r="L838" s="434"/>
      <c r="M838" s="434"/>
      <c r="N838" s="434"/>
      <c r="O838" s="434"/>
      <c r="P838" s="434"/>
      <c r="Q838" s="434"/>
      <c r="R838" s="434"/>
      <c r="S838" s="434"/>
      <c r="T838" s="434"/>
      <c r="U838" s="434"/>
    </row>
    <row r="839">
      <c r="A839" s="434"/>
      <c r="B839" s="434"/>
      <c r="C839" s="434"/>
      <c r="D839" s="434"/>
      <c r="E839" s="434"/>
      <c r="F839" s="434"/>
      <c r="G839" s="434"/>
      <c r="H839" s="434"/>
      <c r="I839" s="434"/>
      <c r="J839" s="434"/>
      <c r="K839" s="434"/>
      <c r="L839" s="434"/>
      <c r="M839" s="434"/>
      <c r="N839" s="434"/>
      <c r="O839" s="434"/>
      <c r="P839" s="434"/>
      <c r="Q839" s="434"/>
      <c r="R839" s="434"/>
      <c r="S839" s="434"/>
      <c r="T839" s="434"/>
      <c r="U839" s="434"/>
    </row>
    <row r="840">
      <c r="A840" s="434"/>
      <c r="B840" s="434"/>
      <c r="C840" s="434"/>
      <c r="D840" s="434"/>
      <c r="E840" s="434"/>
      <c r="F840" s="434"/>
      <c r="G840" s="434"/>
      <c r="H840" s="434"/>
      <c r="I840" s="434"/>
      <c r="J840" s="434"/>
      <c r="K840" s="434"/>
      <c r="L840" s="434"/>
      <c r="M840" s="434"/>
      <c r="N840" s="434"/>
      <c r="O840" s="434"/>
      <c r="P840" s="434"/>
      <c r="Q840" s="434"/>
      <c r="R840" s="434"/>
      <c r="S840" s="434"/>
      <c r="T840" s="434"/>
      <c r="U840" s="434"/>
    </row>
    <row r="841">
      <c r="A841" s="434"/>
      <c r="B841" s="434"/>
      <c r="C841" s="434"/>
      <c r="D841" s="434"/>
      <c r="E841" s="434"/>
      <c r="F841" s="434"/>
      <c r="G841" s="434"/>
      <c r="H841" s="434"/>
      <c r="I841" s="434"/>
      <c r="J841" s="434"/>
      <c r="K841" s="434"/>
      <c r="L841" s="434"/>
      <c r="M841" s="434"/>
      <c r="N841" s="434"/>
      <c r="O841" s="434"/>
      <c r="P841" s="434"/>
      <c r="Q841" s="434"/>
      <c r="R841" s="434"/>
      <c r="S841" s="434"/>
      <c r="T841" s="434"/>
      <c r="U841" s="434"/>
    </row>
    <row r="842">
      <c r="A842" s="434"/>
      <c r="B842" s="434"/>
      <c r="C842" s="434"/>
      <c r="D842" s="434"/>
      <c r="E842" s="434"/>
      <c r="F842" s="434"/>
      <c r="G842" s="434"/>
      <c r="H842" s="434"/>
      <c r="I842" s="434"/>
      <c r="J842" s="434"/>
      <c r="K842" s="434"/>
      <c r="L842" s="434"/>
      <c r="M842" s="434"/>
      <c r="N842" s="434"/>
      <c r="O842" s="434"/>
      <c r="P842" s="434"/>
      <c r="Q842" s="434"/>
      <c r="R842" s="434"/>
      <c r="S842" s="434"/>
      <c r="T842" s="434"/>
      <c r="U842" s="434"/>
    </row>
    <row r="843">
      <c r="A843" s="434"/>
      <c r="B843" s="434"/>
      <c r="C843" s="434"/>
      <c r="D843" s="434"/>
      <c r="E843" s="434"/>
      <c r="F843" s="434"/>
      <c r="G843" s="434"/>
      <c r="H843" s="434"/>
      <c r="I843" s="434"/>
      <c r="J843" s="434"/>
      <c r="K843" s="434"/>
      <c r="L843" s="434"/>
      <c r="M843" s="434"/>
      <c r="N843" s="434"/>
      <c r="O843" s="434"/>
      <c r="P843" s="434"/>
      <c r="Q843" s="434"/>
      <c r="R843" s="434"/>
      <c r="S843" s="434"/>
      <c r="T843" s="434"/>
      <c r="U843" s="434"/>
    </row>
    <row r="844">
      <c r="A844" s="434"/>
      <c r="B844" s="434"/>
      <c r="C844" s="434"/>
      <c r="D844" s="434"/>
      <c r="E844" s="434"/>
      <c r="F844" s="434"/>
      <c r="G844" s="434"/>
      <c r="H844" s="434"/>
      <c r="I844" s="434"/>
      <c r="J844" s="434"/>
      <c r="K844" s="434"/>
      <c r="L844" s="434"/>
      <c r="M844" s="434"/>
      <c r="N844" s="434"/>
      <c r="O844" s="434"/>
      <c r="P844" s="434"/>
      <c r="Q844" s="434"/>
      <c r="R844" s="434"/>
      <c r="S844" s="434"/>
      <c r="T844" s="434"/>
      <c r="U844" s="434"/>
    </row>
    <row r="845">
      <c r="A845" s="434"/>
      <c r="B845" s="434"/>
      <c r="C845" s="434"/>
      <c r="D845" s="434"/>
      <c r="E845" s="434"/>
      <c r="F845" s="434"/>
      <c r="G845" s="434"/>
      <c r="H845" s="434"/>
      <c r="I845" s="434"/>
      <c r="J845" s="434"/>
      <c r="K845" s="434"/>
      <c r="L845" s="434"/>
      <c r="M845" s="434"/>
      <c r="N845" s="434"/>
      <c r="O845" s="434"/>
      <c r="P845" s="434"/>
      <c r="Q845" s="434"/>
      <c r="R845" s="434"/>
      <c r="S845" s="434"/>
      <c r="T845" s="434"/>
      <c r="U845" s="434"/>
    </row>
    <row r="846">
      <c r="A846" s="434"/>
      <c r="B846" s="434"/>
      <c r="C846" s="434"/>
      <c r="D846" s="434"/>
      <c r="E846" s="434"/>
      <c r="F846" s="434"/>
      <c r="G846" s="434"/>
      <c r="H846" s="434"/>
      <c r="I846" s="434"/>
      <c r="J846" s="434"/>
      <c r="K846" s="434"/>
      <c r="L846" s="434"/>
      <c r="M846" s="434"/>
      <c r="N846" s="434"/>
      <c r="O846" s="434"/>
      <c r="P846" s="434"/>
      <c r="Q846" s="434"/>
      <c r="R846" s="434"/>
      <c r="S846" s="434"/>
      <c r="T846" s="434"/>
      <c r="U846" s="434"/>
    </row>
    <row r="847">
      <c r="A847" s="434"/>
      <c r="B847" s="434"/>
      <c r="C847" s="434"/>
      <c r="D847" s="434"/>
      <c r="E847" s="434"/>
      <c r="F847" s="434"/>
      <c r="G847" s="434"/>
      <c r="H847" s="434"/>
      <c r="I847" s="434"/>
      <c r="J847" s="434"/>
      <c r="K847" s="434"/>
      <c r="L847" s="434"/>
      <c r="M847" s="434"/>
      <c r="N847" s="434"/>
      <c r="O847" s="434"/>
      <c r="P847" s="434"/>
      <c r="Q847" s="434"/>
      <c r="R847" s="434"/>
      <c r="S847" s="434"/>
      <c r="T847" s="434"/>
      <c r="U847" s="434"/>
    </row>
    <row r="848">
      <c r="A848" s="434"/>
      <c r="B848" s="434"/>
      <c r="C848" s="434"/>
      <c r="D848" s="434"/>
      <c r="E848" s="434"/>
      <c r="F848" s="434"/>
      <c r="G848" s="434"/>
      <c r="H848" s="434"/>
      <c r="I848" s="434"/>
      <c r="J848" s="434"/>
      <c r="K848" s="434"/>
      <c r="L848" s="434"/>
      <c r="M848" s="434"/>
      <c r="N848" s="434"/>
      <c r="O848" s="434"/>
      <c r="P848" s="434"/>
      <c r="Q848" s="434"/>
      <c r="R848" s="434"/>
      <c r="S848" s="434"/>
      <c r="T848" s="434"/>
      <c r="U848" s="434"/>
    </row>
    <row r="849">
      <c r="A849" s="434"/>
      <c r="B849" s="434"/>
      <c r="C849" s="434"/>
      <c r="D849" s="434"/>
      <c r="E849" s="434"/>
      <c r="F849" s="434"/>
      <c r="G849" s="434"/>
      <c r="H849" s="434"/>
      <c r="I849" s="434"/>
      <c r="J849" s="434"/>
      <c r="K849" s="434"/>
      <c r="L849" s="434"/>
      <c r="M849" s="434"/>
      <c r="N849" s="434"/>
      <c r="O849" s="434"/>
      <c r="P849" s="434"/>
      <c r="Q849" s="434"/>
      <c r="R849" s="434"/>
      <c r="S849" s="434"/>
      <c r="T849" s="434"/>
      <c r="U849" s="434"/>
    </row>
    <row r="850">
      <c r="A850" s="434"/>
      <c r="B850" s="434"/>
      <c r="C850" s="434"/>
      <c r="D850" s="434"/>
      <c r="E850" s="434"/>
      <c r="F850" s="434"/>
      <c r="G850" s="434"/>
      <c r="H850" s="434"/>
      <c r="I850" s="434"/>
      <c r="J850" s="434"/>
      <c r="K850" s="434"/>
      <c r="L850" s="434"/>
      <c r="M850" s="434"/>
      <c r="N850" s="434"/>
      <c r="O850" s="434"/>
      <c r="P850" s="434"/>
      <c r="Q850" s="434"/>
      <c r="R850" s="434"/>
      <c r="S850" s="434"/>
      <c r="T850" s="434"/>
      <c r="U850" s="434"/>
    </row>
    <row r="851">
      <c r="A851" s="434"/>
      <c r="B851" s="434"/>
      <c r="C851" s="434"/>
      <c r="D851" s="434"/>
      <c r="E851" s="434"/>
      <c r="F851" s="434"/>
      <c r="G851" s="434"/>
      <c r="H851" s="434"/>
      <c r="I851" s="434"/>
      <c r="J851" s="434"/>
      <c r="K851" s="434"/>
      <c r="L851" s="434"/>
      <c r="M851" s="434"/>
      <c r="N851" s="434"/>
      <c r="O851" s="434"/>
      <c r="P851" s="434"/>
      <c r="Q851" s="434"/>
      <c r="R851" s="434"/>
      <c r="S851" s="434"/>
      <c r="T851" s="434"/>
      <c r="U851" s="434"/>
    </row>
    <row r="852">
      <c r="A852" s="434"/>
      <c r="B852" s="434"/>
      <c r="C852" s="434"/>
      <c r="D852" s="434"/>
      <c r="E852" s="434"/>
      <c r="F852" s="434"/>
      <c r="G852" s="434"/>
      <c r="H852" s="434"/>
      <c r="I852" s="434"/>
      <c r="J852" s="434"/>
      <c r="K852" s="434"/>
      <c r="L852" s="434"/>
      <c r="M852" s="434"/>
      <c r="N852" s="434"/>
      <c r="O852" s="434"/>
      <c r="P852" s="434"/>
      <c r="Q852" s="434"/>
      <c r="R852" s="434"/>
      <c r="S852" s="434"/>
      <c r="T852" s="434"/>
      <c r="U852" s="434"/>
    </row>
    <row r="853">
      <c r="A853" s="434"/>
      <c r="B853" s="434"/>
      <c r="C853" s="434"/>
      <c r="D853" s="434"/>
      <c r="E853" s="434"/>
      <c r="F853" s="434"/>
      <c r="G853" s="434"/>
      <c r="H853" s="434"/>
      <c r="I853" s="434"/>
      <c r="J853" s="434"/>
      <c r="K853" s="434"/>
      <c r="L853" s="434"/>
      <c r="M853" s="434"/>
      <c r="N853" s="434"/>
      <c r="O853" s="434"/>
      <c r="P853" s="434"/>
      <c r="Q853" s="434"/>
      <c r="R853" s="434"/>
      <c r="S853" s="434"/>
      <c r="T853" s="434"/>
      <c r="U853" s="434"/>
    </row>
    <row r="854">
      <c r="A854" s="434"/>
      <c r="B854" s="434"/>
      <c r="C854" s="434"/>
      <c r="D854" s="434"/>
      <c r="E854" s="434"/>
      <c r="F854" s="434"/>
      <c r="G854" s="434"/>
      <c r="H854" s="434"/>
      <c r="I854" s="434"/>
      <c r="J854" s="434"/>
      <c r="K854" s="434"/>
      <c r="L854" s="434"/>
      <c r="M854" s="434"/>
      <c r="N854" s="434"/>
      <c r="O854" s="434"/>
      <c r="P854" s="434"/>
      <c r="Q854" s="434"/>
      <c r="R854" s="434"/>
      <c r="S854" s="434"/>
      <c r="T854" s="434"/>
      <c r="U854" s="434"/>
    </row>
    <row r="855">
      <c r="A855" s="434"/>
      <c r="B855" s="434"/>
      <c r="C855" s="434"/>
      <c r="D855" s="434"/>
      <c r="E855" s="434"/>
      <c r="F855" s="434"/>
      <c r="G855" s="434"/>
      <c r="H855" s="434"/>
      <c r="I855" s="434"/>
      <c r="J855" s="434"/>
      <c r="K855" s="434"/>
      <c r="L855" s="434"/>
      <c r="M855" s="434"/>
      <c r="N855" s="434"/>
      <c r="O855" s="434"/>
      <c r="P855" s="434"/>
      <c r="Q855" s="434"/>
      <c r="R855" s="434"/>
      <c r="S855" s="434"/>
      <c r="T855" s="434"/>
      <c r="U855" s="434"/>
    </row>
    <row r="856">
      <c r="A856" s="434"/>
      <c r="B856" s="434"/>
      <c r="C856" s="434"/>
      <c r="D856" s="434"/>
      <c r="E856" s="434"/>
      <c r="F856" s="434"/>
      <c r="G856" s="434"/>
      <c r="H856" s="434"/>
      <c r="I856" s="434"/>
      <c r="J856" s="434"/>
      <c r="K856" s="434"/>
      <c r="L856" s="434"/>
      <c r="M856" s="434"/>
      <c r="N856" s="434"/>
      <c r="O856" s="434"/>
      <c r="P856" s="434"/>
      <c r="Q856" s="434"/>
      <c r="R856" s="434"/>
      <c r="S856" s="434"/>
      <c r="T856" s="434"/>
      <c r="U856" s="434"/>
    </row>
    <row r="857">
      <c r="A857" s="434"/>
      <c r="B857" s="434"/>
      <c r="C857" s="434"/>
      <c r="D857" s="434"/>
      <c r="E857" s="434"/>
      <c r="F857" s="434"/>
      <c r="G857" s="434"/>
      <c r="H857" s="434"/>
      <c r="I857" s="434"/>
      <c r="J857" s="434"/>
      <c r="K857" s="434"/>
      <c r="L857" s="434"/>
      <c r="M857" s="434"/>
      <c r="N857" s="434"/>
      <c r="O857" s="434"/>
      <c r="P857" s="434"/>
      <c r="Q857" s="434"/>
      <c r="R857" s="434"/>
      <c r="S857" s="434"/>
      <c r="T857" s="434"/>
      <c r="U857" s="434"/>
    </row>
    <row r="858">
      <c r="A858" s="434"/>
      <c r="B858" s="434"/>
      <c r="C858" s="434"/>
      <c r="D858" s="434"/>
      <c r="E858" s="434"/>
      <c r="F858" s="434"/>
      <c r="G858" s="434"/>
      <c r="H858" s="434"/>
      <c r="I858" s="434"/>
      <c r="J858" s="434"/>
      <c r="K858" s="434"/>
      <c r="L858" s="434"/>
      <c r="M858" s="434"/>
      <c r="N858" s="434"/>
      <c r="O858" s="434"/>
      <c r="P858" s="434"/>
      <c r="Q858" s="434"/>
      <c r="R858" s="434"/>
      <c r="S858" s="434"/>
      <c r="T858" s="434"/>
      <c r="U858" s="434"/>
    </row>
    <row r="859">
      <c r="A859" s="434"/>
      <c r="B859" s="434"/>
      <c r="C859" s="434"/>
      <c r="D859" s="434"/>
      <c r="E859" s="434"/>
      <c r="F859" s="434"/>
      <c r="G859" s="434"/>
      <c r="H859" s="434"/>
      <c r="I859" s="434"/>
      <c r="J859" s="434"/>
      <c r="K859" s="434"/>
      <c r="L859" s="434"/>
      <c r="M859" s="434"/>
      <c r="N859" s="434"/>
      <c r="O859" s="434"/>
      <c r="P859" s="434"/>
      <c r="Q859" s="434"/>
      <c r="R859" s="434"/>
      <c r="S859" s="434"/>
      <c r="T859" s="434"/>
      <c r="U859" s="434"/>
    </row>
    <row r="860">
      <c r="A860" s="434"/>
      <c r="B860" s="434"/>
      <c r="C860" s="434"/>
      <c r="D860" s="434"/>
      <c r="E860" s="434"/>
      <c r="F860" s="434"/>
      <c r="G860" s="434"/>
      <c r="H860" s="434"/>
      <c r="I860" s="434"/>
      <c r="J860" s="434"/>
      <c r="K860" s="434"/>
      <c r="L860" s="434"/>
      <c r="M860" s="434"/>
      <c r="N860" s="434"/>
      <c r="O860" s="434"/>
      <c r="P860" s="434"/>
      <c r="Q860" s="434"/>
      <c r="R860" s="434"/>
      <c r="S860" s="434"/>
      <c r="T860" s="434"/>
      <c r="U860" s="434"/>
    </row>
    <row r="861">
      <c r="A861" s="434"/>
      <c r="B861" s="434"/>
      <c r="C861" s="434"/>
      <c r="D861" s="434"/>
      <c r="E861" s="434"/>
      <c r="F861" s="434"/>
      <c r="G861" s="434"/>
      <c r="H861" s="434"/>
      <c r="I861" s="434"/>
      <c r="J861" s="434"/>
      <c r="K861" s="434"/>
      <c r="L861" s="434"/>
      <c r="M861" s="434"/>
      <c r="N861" s="434"/>
      <c r="O861" s="434"/>
      <c r="P861" s="434"/>
      <c r="Q861" s="434"/>
      <c r="R861" s="434"/>
      <c r="S861" s="434"/>
      <c r="T861" s="434"/>
      <c r="U861" s="434"/>
    </row>
    <row r="862">
      <c r="A862" s="434"/>
      <c r="B862" s="434"/>
      <c r="C862" s="434"/>
      <c r="D862" s="434"/>
      <c r="E862" s="434"/>
      <c r="F862" s="434"/>
      <c r="G862" s="434"/>
      <c r="H862" s="434"/>
      <c r="I862" s="434"/>
      <c r="J862" s="434"/>
      <c r="K862" s="434"/>
      <c r="L862" s="434"/>
      <c r="M862" s="434"/>
      <c r="N862" s="434"/>
      <c r="O862" s="434"/>
      <c r="P862" s="434"/>
      <c r="Q862" s="434"/>
      <c r="R862" s="434"/>
      <c r="S862" s="434"/>
      <c r="T862" s="434"/>
      <c r="U862" s="434"/>
    </row>
    <row r="863">
      <c r="A863" s="434"/>
      <c r="B863" s="434"/>
      <c r="C863" s="434"/>
      <c r="D863" s="434"/>
      <c r="E863" s="434"/>
      <c r="F863" s="434"/>
      <c r="G863" s="434"/>
      <c r="H863" s="434"/>
      <c r="I863" s="434"/>
      <c r="J863" s="434"/>
      <c r="K863" s="434"/>
      <c r="L863" s="434"/>
      <c r="M863" s="434"/>
      <c r="N863" s="434"/>
      <c r="O863" s="434"/>
      <c r="P863" s="434"/>
      <c r="Q863" s="434"/>
      <c r="R863" s="434"/>
      <c r="S863" s="434"/>
      <c r="T863" s="434"/>
      <c r="U863" s="434"/>
    </row>
    <row r="864">
      <c r="A864" s="434"/>
      <c r="B864" s="434"/>
      <c r="C864" s="434"/>
      <c r="D864" s="434"/>
      <c r="E864" s="434"/>
      <c r="F864" s="434"/>
      <c r="G864" s="434"/>
      <c r="H864" s="434"/>
      <c r="I864" s="434"/>
      <c r="J864" s="434"/>
      <c r="K864" s="434"/>
      <c r="L864" s="434"/>
      <c r="M864" s="434"/>
      <c r="N864" s="434"/>
      <c r="O864" s="434"/>
      <c r="P864" s="434"/>
      <c r="Q864" s="434"/>
      <c r="R864" s="434"/>
      <c r="S864" s="434"/>
      <c r="T864" s="434"/>
      <c r="U864" s="434"/>
    </row>
    <row r="865">
      <c r="A865" s="434"/>
      <c r="B865" s="434"/>
      <c r="C865" s="434"/>
      <c r="D865" s="434"/>
      <c r="E865" s="434"/>
      <c r="F865" s="434"/>
      <c r="G865" s="434"/>
      <c r="H865" s="434"/>
      <c r="I865" s="434"/>
      <c r="J865" s="434"/>
      <c r="K865" s="434"/>
      <c r="L865" s="434"/>
      <c r="M865" s="434"/>
      <c r="N865" s="434"/>
      <c r="O865" s="434"/>
      <c r="P865" s="434"/>
      <c r="Q865" s="434"/>
      <c r="R865" s="434"/>
      <c r="S865" s="434"/>
      <c r="T865" s="434"/>
      <c r="U865" s="434"/>
    </row>
    <row r="866">
      <c r="A866" s="434"/>
      <c r="B866" s="434"/>
      <c r="C866" s="434"/>
      <c r="D866" s="434"/>
      <c r="E866" s="434"/>
      <c r="F866" s="434"/>
      <c r="G866" s="434"/>
      <c r="H866" s="434"/>
      <c r="I866" s="434"/>
      <c r="J866" s="434"/>
      <c r="K866" s="434"/>
      <c r="L866" s="434"/>
      <c r="M866" s="434"/>
      <c r="N866" s="434"/>
      <c r="O866" s="434"/>
      <c r="P866" s="434"/>
      <c r="Q866" s="434"/>
      <c r="R866" s="434"/>
      <c r="S866" s="434"/>
      <c r="T866" s="434"/>
      <c r="U866" s="434"/>
    </row>
    <row r="867">
      <c r="A867" s="434"/>
      <c r="B867" s="434"/>
      <c r="C867" s="434"/>
      <c r="D867" s="434"/>
      <c r="E867" s="434"/>
      <c r="F867" s="434"/>
      <c r="G867" s="434"/>
      <c r="H867" s="434"/>
      <c r="I867" s="434"/>
      <c r="J867" s="434"/>
      <c r="K867" s="434"/>
      <c r="L867" s="434"/>
      <c r="M867" s="434"/>
      <c r="N867" s="434"/>
      <c r="O867" s="434"/>
      <c r="P867" s="434"/>
      <c r="Q867" s="434"/>
      <c r="R867" s="434"/>
      <c r="S867" s="434"/>
      <c r="T867" s="434"/>
      <c r="U867" s="434"/>
    </row>
    <row r="868">
      <c r="A868" s="434"/>
      <c r="B868" s="434"/>
      <c r="C868" s="434"/>
      <c r="D868" s="434"/>
      <c r="E868" s="434"/>
      <c r="F868" s="434"/>
      <c r="G868" s="434"/>
      <c r="H868" s="434"/>
      <c r="I868" s="434"/>
      <c r="J868" s="434"/>
      <c r="K868" s="434"/>
      <c r="L868" s="434"/>
      <c r="M868" s="434"/>
      <c r="N868" s="434"/>
      <c r="O868" s="434"/>
      <c r="P868" s="434"/>
      <c r="Q868" s="434"/>
      <c r="R868" s="434"/>
      <c r="S868" s="434"/>
      <c r="T868" s="434"/>
      <c r="U868" s="434"/>
    </row>
    <row r="869">
      <c r="A869" s="434"/>
      <c r="B869" s="434"/>
      <c r="C869" s="434"/>
      <c r="D869" s="434"/>
      <c r="E869" s="434"/>
      <c r="F869" s="434"/>
      <c r="G869" s="434"/>
      <c r="H869" s="434"/>
      <c r="I869" s="434"/>
      <c r="J869" s="434"/>
      <c r="K869" s="434"/>
      <c r="L869" s="434"/>
      <c r="M869" s="434"/>
      <c r="N869" s="434"/>
      <c r="O869" s="434"/>
      <c r="P869" s="434"/>
      <c r="Q869" s="434"/>
      <c r="R869" s="434"/>
      <c r="S869" s="434"/>
      <c r="T869" s="434"/>
      <c r="U869" s="434"/>
    </row>
    <row r="870">
      <c r="A870" s="434"/>
      <c r="B870" s="434"/>
      <c r="C870" s="434"/>
      <c r="D870" s="434"/>
      <c r="E870" s="434"/>
      <c r="F870" s="434"/>
      <c r="G870" s="434"/>
      <c r="H870" s="434"/>
      <c r="I870" s="434"/>
      <c r="J870" s="434"/>
      <c r="K870" s="434"/>
      <c r="L870" s="434"/>
      <c r="M870" s="434"/>
      <c r="N870" s="434"/>
      <c r="O870" s="434"/>
      <c r="P870" s="434"/>
      <c r="Q870" s="434"/>
      <c r="R870" s="434"/>
      <c r="S870" s="434"/>
      <c r="T870" s="434"/>
      <c r="U870" s="434"/>
    </row>
    <row r="871">
      <c r="A871" s="434"/>
      <c r="B871" s="434"/>
      <c r="C871" s="434"/>
      <c r="D871" s="434"/>
      <c r="E871" s="434"/>
      <c r="F871" s="434"/>
      <c r="G871" s="434"/>
      <c r="H871" s="434"/>
      <c r="I871" s="434"/>
      <c r="J871" s="434"/>
      <c r="K871" s="434"/>
      <c r="L871" s="434"/>
      <c r="M871" s="434"/>
      <c r="N871" s="434"/>
      <c r="O871" s="434"/>
      <c r="P871" s="434"/>
      <c r="Q871" s="434"/>
      <c r="R871" s="434"/>
      <c r="S871" s="434"/>
      <c r="T871" s="434"/>
      <c r="U871" s="434"/>
    </row>
    <row r="872">
      <c r="A872" s="434"/>
      <c r="B872" s="434"/>
      <c r="C872" s="434"/>
      <c r="D872" s="434"/>
      <c r="E872" s="434"/>
      <c r="F872" s="434"/>
      <c r="G872" s="434"/>
      <c r="H872" s="434"/>
      <c r="I872" s="434"/>
      <c r="J872" s="434"/>
      <c r="K872" s="434"/>
      <c r="L872" s="434"/>
      <c r="M872" s="434"/>
      <c r="N872" s="434"/>
      <c r="O872" s="434"/>
      <c r="P872" s="434"/>
      <c r="Q872" s="434"/>
      <c r="R872" s="434"/>
      <c r="S872" s="434"/>
      <c r="T872" s="434"/>
      <c r="U872" s="434"/>
    </row>
    <row r="873">
      <c r="A873" s="434"/>
      <c r="B873" s="434"/>
      <c r="C873" s="434"/>
      <c r="D873" s="434"/>
      <c r="E873" s="434"/>
      <c r="F873" s="434"/>
      <c r="G873" s="434"/>
      <c r="H873" s="434"/>
      <c r="I873" s="434"/>
      <c r="J873" s="434"/>
      <c r="K873" s="434"/>
      <c r="L873" s="434"/>
      <c r="M873" s="434"/>
      <c r="N873" s="434"/>
      <c r="O873" s="434"/>
      <c r="P873" s="434"/>
      <c r="Q873" s="434"/>
      <c r="R873" s="434"/>
      <c r="S873" s="434"/>
      <c r="T873" s="434"/>
      <c r="U873" s="434"/>
    </row>
    <row r="874">
      <c r="A874" s="434"/>
      <c r="B874" s="434"/>
      <c r="C874" s="434"/>
      <c r="D874" s="434"/>
      <c r="E874" s="434"/>
      <c r="F874" s="434"/>
      <c r="G874" s="434"/>
      <c r="H874" s="434"/>
      <c r="I874" s="434"/>
      <c r="J874" s="434"/>
      <c r="K874" s="434"/>
      <c r="L874" s="434"/>
      <c r="M874" s="434"/>
      <c r="N874" s="434"/>
      <c r="O874" s="434"/>
      <c r="P874" s="434"/>
      <c r="Q874" s="434"/>
      <c r="R874" s="434"/>
      <c r="S874" s="434"/>
      <c r="T874" s="434"/>
      <c r="U874" s="434"/>
    </row>
    <row r="875">
      <c r="A875" s="434"/>
      <c r="B875" s="434"/>
      <c r="C875" s="434"/>
      <c r="D875" s="434"/>
      <c r="E875" s="434"/>
      <c r="F875" s="434"/>
      <c r="G875" s="434"/>
      <c r="H875" s="434"/>
      <c r="I875" s="434"/>
      <c r="J875" s="434"/>
      <c r="K875" s="434"/>
      <c r="L875" s="434"/>
      <c r="M875" s="434"/>
      <c r="N875" s="434"/>
      <c r="O875" s="434"/>
      <c r="P875" s="434"/>
      <c r="Q875" s="434"/>
      <c r="R875" s="434"/>
      <c r="S875" s="434"/>
      <c r="T875" s="434"/>
      <c r="U875" s="434"/>
    </row>
    <row r="876">
      <c r="A876" s="434"/>
      <c r="B876" s="434"/>
      <c r="C876" s="434"/>
      <c r="D876" s="434"/>
      <c r="E876" s="434"/>
      <c r="F876" s="434"/>
      <c r="G876" s="434"/>
      <c r="H876" s="434"/>
      <c r="I876" s="434"/>
      <c r="J876" s="434"/>
      <c r="K876" s="434"/>
      <c r="L876" s="434"/>
      <c r="M876" s="434"/>
      <c r="N876" s="434"/>
      <c r="O876" s="434"/>
      <c r="P876" s="434"/>
      <c r="Q876" s="434"/>
      <c r="R876" s="434"/>
      <c r="S876" s="434"/>
      <c r="T876" s="434"/>
      <c r="U876" s="434"/>
    </row>
    <row r="877">
      <c r="A877" s="434"/>
      <c r="B877" s="434"/>
      <c r="C877" s="434"/>
      <c r="D877" s="434"/>
      <c r="E877" s="434"/>
      <c r="F877" s="434"/>
      <c r="G877" s="434"/>
      <c r="H877" s="434"/>
      <c r="I877" s="434"/>
      <c r="J877" s="434"/>
      <c r="K877" s="434"/>
      <c r="L877" s="434"/>
      <c r="M877" s="434"/>
      <c r="N877" s="434"/>
      <c r="O877" s="434"/>
      <c r="P877" s="434"/>
      <c r="Q877" s="434"/>
      <c r="R877" s="434"/>
      <c r="S877" s="434"/>
      <c r="T877" s="434"/>
      <c r="U877" s="434"/>
    </row>
    <row r="878">
      <c r="A878" s="434"/>
      <c r="B878" s="434"/>
      <c r="C878" s="434"/>
      <c r="D878" s="434"/>
      <c r="E878" s="434"/>
      <c r="F878" s="434"/>
      <c r="G878" s="434"/>
      <c r="H878" s="434"/>
      <c r="I878" s="434"/>
      <c r="J878" s="434"/>
      <c r="K878" s="434"/>
      <c r="L878" s="434"/>
      <c r="M878" s="434"/>
      <c r="N878" s="434"/>
      <c r="O878" s="434"/>
      <c r="P878" s="434"/>
      <c r="Q878" s="434"/>
      <c r="R878" s="434"/>
      <c r="S878" s="434"/>
      <c r="T878" s="434"/>
      <c r="U878" s="434"/>
    </row>
    <row r="879">
      <c r="A879" s="434"/>
      <c r="B879" s="434"/>
      <c r="C879" s="434"/>
      <c r="D879" s="434"/>
      <c r="E879" s="434"/>
      <c r="F879" s="434"/>
      <c r="G879" s="434"/>
      <c r="H879" s="434"/>
      <c r="I879" s="434"/>
      <c r="J879" s="434"/>
      <c r="K879" s="434"/>
      <c r="L879" s="434"/>
      <c r="M879" s="434"/>
      <c r="N879" s="434"/>
      <c r="O879" s="434"/>
      <c r="P879" s="434"/>
      <c r="Q879" s="434"/>
      <c r="R879" s="434"/>
      <c r="S879" s="434"/>
      <c r="T879" s="434"/>
      <c r="U879" s="434"/>
    </row>
    <row r="880">
      <c r="A880" s="434"/>
      <c r="B880" s="434"/>
      <c r="C880" s="434"/>
      <c r="D880" s="434"/>
      <c r="E880" s="434"/>
      <c r="F880" s="434"/>
      <c r="G880" s="434"/>
      <c r="H880" s="434"/>
      <c r="I880" s="434"/>
      <c r="J880" s="434"/>
      <c r="K880" s="434"/>
      <c r="L880" s="434"/>
      <c r="M880" s="434"/>
      <c r="N880" s="434"/>
      <c r="O880" s="434"/>
      <c r="P880" s="434"/>
      <c r="Q880" s="434"/>
      <c r="R880" s="434"/>
      <c r="S880" s="434"/>
      <c r="T880" s="434"/>
      <c r="U880" s="434"/>
    </row>
    <row r="881">
      <c r="A881" s="434"/>
      <c r="B881" s="434"/>
      <c r="C881" s="434"/>
      <c r="D881" s="434"/>
      <c r="E881" s="434"/>
      <c r="F881" s="434"/>
      <c r="G881" s="434"/>
      <c r="H881" s="434"/>
      <c r="I881" s="434"/>
      <c r="J881" s="434"/>
      <c r="K881" s="434"/>
      <c r="L881" s="434"/>
      <c r="M881" s="434"/>
      <c r="N881" s="434"/>
      <c r="O881" s="434"/>
      <c r="P881" s="434"/>
      <c r="Q881" s="434"/>
      <c r="R881" s="434"/>
      <c r="S881" s="434"/>
      <c r="T881" s="434"/>
      <c r="U881" s="434"/>
    </row>
    <row r="882">
      <c r="A882" s="434"/>
      <c r="B882" s="434"/>
      <c r="C882" s="434"/>
      <c r="D882" s="434"/>
      <c r="E882" s="434"/>
      <c r="F882" s="434"/>
      <c r="G882" s="434"/>
      <c r="H882" s="434"/>
      <c r="I882" s="434"/>
      <c r="J882" s="434"/>
      <c r="K882" s="434"/>
      <c r="L882" s="434"/>
      <c r="M882" s="434"/>
      <c r="N882" s="434"/>
      <c r="O882" s="434"/>
      <c r="P882" s="434"/>
      <c r="Q882" s="434"/>
      <c r="R882" s="434"/>
      <c r="S882" s="434"/>
      <c r="T882" s="434"/>
      <c r="U882" s="434"/>
    </row>
    <row r="883">
      <c r="A883" s="434"/>
      <c r="B883" s="434"/>
      <c r="C883" s="434"/>
      <c r="D883" s="434"/>
      <c r="E883" s="434"/>
      <c r="F883" s="434"/>
      <c r="G883" s="434"/>
      <c r="H883" s="434"/>
      <c r="I883" s="434"/>
      <c r="J883" s="434"/>
      <c r="K883" s="434"/>
      <c r="L883" s="434"/>
      <c r="M883" s="434"/>
      <c r="N883" s="434"/>
      <c r="O883" s="434"/>
      <c r="P883" s="434"/>
      <c r="Q883" s="434"/>
      <c r="R883" s="434"/>
      <c r="S883" s="434"/>
      <c r="T883" s="434"/>
      <c r="U883" s="434"/>
    </row>
    <row r="884">
      <c r="A884" s="434"/>
      <c r="B884" s="434"/>
      <c r="C884" s="434"/>
      <c r="D884" s="434"/>
      <c r="E884" s="434"/>
      <c r="F884" s="434"/>
      <c r="G884" s="434"/>
      <c r="H884" s="434"/>
      <c r="I884" s="434"/>
      <c r="J884" s="434"/>
      <c r="K884" s="434"/>
      <c r="L884" s="434"/>
      <c r="M884" s="434"/>
      <c r="N884" s="434"/>
      <c r="O884" s="434"/>
      <c r="P884" s="434"/>
      <c r="Q884" s="434"/>
      <c r="R884" s="434"/>
      <c r="S884" s="434"/>
      <c r="T884" s="434"/>
      <c r="U884" s="434"/>
    </row>
    <row r="885">
      <c r="A885" s="434"/>
      <c r="B885" s="434"/>
      <c r="C885" s="434"/>
      <c r="D885" s="434"/>
      <c r="E885" s="434"/>
      <c r="F885" s="434"/>
      <c r="G885" s="434"/>
      <c r="H885" s="434"/>
      <c r="I885" s="434"/>
      <c r="J885" s="434"/>
      <c r="K885" s="434"/>
      <c r="L885" s="434"/>
      <c r="M885" s="434"/>
      <c r="N885" s="434"/>
      <c r="O885" s="434"/>
      <c r="P885" s="434"/>
      <c r="Q885" s="434"/>
      <c r="R885" s="434"/>
      <c r="S885" s="434"/>
      <c r="T885" s="434"/>
      <c r="U885" s="434"/>
    </row>
    <row r="886">
      <c r="A886" s="434"/>
      <c r="B886" s="434"/>
      <c r="C886" s="434"/>
      <c r="D886" s="434"/>
      <c r="E886" s="434"/>
      <c r="F886" s="434"/>
      <c r="G886" s="434"/>
      <c r="H886" s="434"/>
      <c r="I886" s="434"/>
      <c r="J886" s="434"/>
      <c r="K886" s="434"/>
      <c r="L886" s="434"/>
      <c r="M886" s="434"/>
      <c r="N886" s="434"/>
      <c r="O886" s="434"/>
      <c r="P886" s="434"/>
      <c r="Q886" s="434"/>
      <c r="R886" s="434"/>
      <c r="S886" s="434"/>
      <c r="T886" s="434"/>
      <c r="U886" s="434"/>
    </row>
    <row r="887">
      <c r="A887" s="434"/>
      <c r="B887" s="434"/>
      <c r="C887" s="434"/>
      <c r="D887" s="434"/>
      <c r="E887" s="434"/>
      <c r="F887" s="434"/>
      <c r="G887" s="434"/>
      <c r="H887" s="434"/>
      <c r="I887" s="434"/>
      <c r="J887" s="434"/>
      <c r="K887" s="434"/>
      <c r="L887" s="434"/>
      <c r="M887" s="434"/>
      <c r="N887" s="434"/>
      <c r="O887" s="434"/>
      <c r="P887" s="434"/>
      <c r="Q887" s="434"/>
      <c r="R887" s="434"/>
      <c r="S887" s="434"/>
      <c r="T887" s="434"/>
      <c r="U887" s="434"/>
    </row>
    <row r="888">
      <c r="A888" s="434"/>
      <c r="B888" s="434"/>
      <c r="C888" s="434"/>
      <c r="D888" s="434"/>
      <c r="E888" s="434"/>
      <c r="F888" s="434"/>
      <c r="G888" s="434"/>
      <c r="H888" s="434"/>
      <c r="I888" s="434"/>
      <c r="J888" s="434"/>
      <c r="K888" s="434"/>
      <c r="L888" s="434"/>
      <c r="M888" s="434"/>
      <c r="N888" s="434"/>
      <c r="O888" s="434"/>
      <c r="P888" s="434"/>
      <c r="Q888" s="434"/>
      <c r="R888" s="434"/>
      <c r="S888" s="434"/>
      <c r="T888" s="434"/>
      <c r="U888" s="434"/>
    </row>
    <row r="889">
      <c r="A889" s="434"/>
      <c r="B889" s="434"/>
      <c r="C889" s="434"/>
      <c r="D889" s="434"/>
      <c r="E889" s="434"/>
      <c r="F889" s="434"/>
      <c r="G889" s="434"/>
      <c r="H889" s="434"/>
      <c r="I889" s="434"/>
      <c r="J889" s="434"/>
      <c r="K889" s="434"/>
      <c r="L889" s="434"/>
      <c r="M889" s="434"/>
      <c r="N889" s="434"/>
      <c r="O889" s="434"/>
      <c r="P889" s="434"/>
      <c r="Q889" s="434"/>
      <c r="R889" s="434"/>
      <c r="S889" s="434"/>
      <c r="T889" s="434"/>
      <c r="U889" s="434"/>
    </row>
    <row r="890">
      <c r="A890" s="434"/>
      <c r="B890" s="434"/>
      <c r="C890" s="434"/>
      <c r="D890" s="434"/>
      <c r="E890" s="434"/>
      <c r="F890" s="434"/>
      <c r="G890" s="434"/>
      <c r="H890" s="434"/>
      <c r="I890" s="434"/>
      <c r="J890" s="434"/>
      <c r="K890" s="434"/>
      <c r="L890" s="434"/>
      <c r="M890" s="434"/>
      <c r="N890" s="434"/>
      <c r="O890" s="434"/>
      <c r="P890" s="434"/>
      <c r="Q890" s="434"/>
      <c r="R890" s="434"/>
      <c r="S890" s="434"/>
      <c r="T890" s="434"/>
      <c r="U890" s="434"/>
    </row>
    <row r="891">
      <c r="A891" s="434"/>
      <c r="B891" s="434"/>
      <c r="C891" s="434"/>
      <c r="D891" s="434"/>
      <c r="E891" s="434"/>
      <c r="F891" s="434"/>
      <c r="G891" s="434"/>
      <c r="H891" s="434"/>
      <c r="I891" s="434"/>
      <c r="J891" s="434"/>
      <c r="K891" s="434"/>
      <c r="L891" s="434"/>
      <c r="M891" s="434"/>
      <c r="N891" s="434"/>
      <c r="O891" s="434"/>
      <c r="P891" s="434"/>
      <c r="Q891" s="434"/>
      <c r="R891" s="434"/>
      <c r="S891" s="434"/>
      <c r="T891" s="434"/>
      <c r="U891" s="434"/>
    </row>
    <row r="892">
      <c r="A892" s="434"/>
      <c r="B892" s="434"/>
      <c r="C892" s="434"/>
      <c r="D892" s="434"/>
      <c r="E892" s="434"/>
      <c r="F892" s="434"/>
      <c r="G892" s="434"/>
      <c r="H892" s="434"/>
      <c r="I892" s="434"/>
      <c r="J892" s="434"/>
      <c r="K892" s="434"/>
      <c r="L892" s="434"/>
      <c r="M892" s="434"/>
      <c r="N892" s="434"/>
      <c r="O892" s="434"/>
      <c r="P892" s="434"/>
      <c r="Q892" s="434"/>
      <c r="R892" s="434"/>
      <c r="S892" s="434"/>
      <c r="T892" s="434"/>
      <c r="U892" s="434"/>
    </row>
    <row r="893">
      <c r="A893" s="434"/>
      <c r="B893" s="434"/>
      <c r="C893" s="434"/>
      <c r="D893" s="434"/>
      <c r="E893" s="434"/>
      <c r="F893" s="434"/>
      <c r="G893" s="434"/>
      <c r="H893" s="434"/>
      <c r="I893" s="434"/>
      <c r="J893" s="434"/>
      <c r="K893" s="434"/>
      <c r="L893" s="434"/>
      <c r="M893" s="434"/>
      <c r="N893" s="434"/>
      <c r="O893" s="434"/>
      <c r="P893" s="434"/>
      <c r="Q893" s="434"/>
      <c r="R893" s="434"/>
      <c r="S893" s="434"/>
      <c r="T893" s="434"/>
      <c r="U893" s="434"/>
    </row>
    <row r="894">
      <c r="A894" s="434"/>
      <c r="B894" s="434"/>
      <c r="C894" s="434"/>
      <c r="D894" s="434"/>
      <c r="E894" s="434"/>
      <c r="F894" s="434"/>
      <c r="G894" s="434"/>
      <c r="H894" s="434"/>
      <c r="I894" s="434"/>
      <c r="J894" s="434"/>
      <c r="K894" s="434"/>
      <c r="L894" s="434"/>
      <c r="M894" s="434"/>
      <c r="N894" s="434"/>
      <c r="O894" s="434"/>
      <c r="P894" s="434"/>
      <c r="Q894" s="434"/>
      <c r="R894" s="434"/>
      <c r="S894" s="434"/>
      <c r="T894" s="434"/>
      <c r="U894" s="434"/>
    </row>
    <row r="895">
      <c r="A895" s="434"/>
      <c r="B895" s="434"/>
      <c r="C895" s="434"/>
      <c r="D895" s="434"/>
      <c r="E895" s="434"/>
      <c r="F895" s="434"/>
      <c r="G895" s="434"/>
      <c r="H895" s="434"/>
      <c r="I895" s="434"/>
      <c r="J895" s="434"/>
      <c r="K895" s="434"/>
      <c r="L895" s="434"/>
      <c r="M895" s="434"/>
      <c r="N895" s="434"/>
      <c r="O895" s="434"/>
      <c r="P895" s="434"/>
      <c r="Q895" s="434"/>
      <c r="R895" s="434"/>
      <c r="S895" s="434"/>
      <c r="T895" s="434"/>
      <c r="U895" s="434"/>
    </row>
    <row r="896">
      <c r="A896" s="434"/>
      <c r="B896" s="434"/>
      <c r="C896" s="434"/>
      <c r="D896" s="434"/>
      <c r="E896" s="434"/>
      <c r="F896" s="434"/>
      <c r="G896" s="434"/>
      <c r="H896" s="434"/>
      <c r="I896" s="434"/>
      <c r="J896" s="434"/>
      <c r="K896" s="434"/>
      <c r="L896" s="434"/>
      <c r="M896" s="434"/>
      <c r="N896" s="434"/>
      <c r="O896" s="434"/>
      <c r="P896" s="434"/>
      <c r="Q896" s="434"/>
      <c r="R896" s="434"/>
      <c r="S896" s="434"/>
      <c r="T896" s="434"/>
      <c r="U896" s="434"/>
    </row>
    <row r="897">
      <c r="A897" s="434"/>
      <c r="B897" s="434"/>
      <c r="C897" s="434"/>
      <c r="D897" s="434"/>
      <c r="E897" s="434"/>
      <c r="F897" s="434"/>
      <c r="G897" s="434"/>
      <c r="H897" s="434"/>
      <c r="I897" s="434"/>
      <c r="J897" s="434"/>
      <c r="K897" s="434"/>
      <c r="L897" s="434"/>
      <c r="M897" s="434"/>
      <c r="N897" s="434"/>
      <c r="O897" s="434"/>
      <c r="P897" s="434"/>
      <c r="Q897" s="434"/>
      <c r="R897" s="434"/>
      <c r="S897" s="434"/>
      <c r="T897" s="434"/>
      <c r="U897" s="434"/>
    </row>
    <row r="898">
      <c r="A898" s="434"/>
      <c r="B898" s="434"/>
      <c r="C898" s="434"/>
      <c r="D898" s="434"/>
      <c r="E898" s="434"/>
      <c r="F898" s="434"/>
      <c r="G898" s="434"/>
      <c r="H898" s="434"/>
      <c r="I898" s="434"/>
      <c r="J898" s="434"/>
      <c r="K898" s="434"/>
      <c r="L898" s="434"/>
      <c r="M898" s="434"/>
      <c r="N898" s="434"/>
      <c r="O898" s="434"/>
      <c r="P898" s="434"/>
      <c r="Q898" s="434"/>
      <c r="R898" s="434"/>
      <c r="S898" s="434"/>
      <c r="T898" s="434"/>
      <c r="U898" s="434"/>
    </row>
    <row r="899">
      <c r="A899" s="434"/>
      <c r="B899" s="434"/>
      <c r="C899" s="434"/>
      <c r="D899" s="434"/>
      <c r="E899" s="434"/>
      <c r="F899" s="434"/>
      <c r="G899" s="434"/>
      <c r="H899" s="434"/>
      <c r="I899" s="434"/>
      <c r="J899" s="434"/>
      <c r="K899" s="434"/>
      <c r="L899" s="434"/>
      <c r="M899" s="434"/>
      <c r="N899" s="434"/>
      <c r="O899" s="434"/>
      <c r="P899" s="434"/>
      <c r="Q899" s="434"/>
      <c r="R899" s="434"/>
      <c r="S899" s="434"/>
      <c r="T899" s="434"/>
      <c r="U899" s="434"/>
    </row>
    <row r="900">
      <c r="A900" s="434"/>
      <c r="B900" s="434"/>
      <c r="C900" s="434"/>
      <c r="D900" s="434"/>
      <c r="E900" s="434"/>
      <c r="F900" s="434"/>
      <c r="G900" s="434"/>
      <c r="H900" s="434"/>
      <c r="I900" s="434"/>
      <c r="J900" s="434"/>
      <c r="K900" s="434"/>
      <c r="L900" s="434"/>
      <c r="M900" s="434"/>
      <c r="N900" s="434"/>
      <c r="O900" s="434"/>
      <c r="P900" s="434"/>
      <c r="Q900" s="434"/>
      <c r="R900" s="434"/>
      <c r="S900" s="434"/>
      <c r="T900" s="434"/>
      <c r="U900" s="434"/>
    </row>
    <row r="901">
      <c r="A901" s="434"/>
      <c r="B901" s="434"/>
      <c r="C901" s="434"/>
      <c r="D901" s="434"/>
      <c r="E901" s="434"/>
      <c r="F901" s="434"/>
      <c r="G901" s="434"/>
      <c r="H901" s="434"/>
      <c r="I901" s="434"/>
      <c r="J901" s="434"/>
      <c r="K901" s="434"/>
      <c r="L901" s="434"/>
      <c r="M901" s="434"/>
      <c r="N901" s="434"/>
      <c r="O901" s="434"/>
      <c r="P901" s="434"/>
      <c r="Q901" s="434"/>
      <c r="R901" s="434"/>
      <c r="S901" s="434"/>
      <c r="T901" s="434"/>
      <c r="U901" s="434"/>
    </row>
    <row r="902">
      <c r="A902" s="434"/>
      <c r="B902" s="434"/>
      <c r="C902" s="434"/>
      <c r="D902" s="434"/>
      <c r="E902" s="434"/>
      <c r="F902" s="434"/>
      <c r="G902" s="434"/>
      <c r="H902" s="434"/>
      <c r="I902" s="434"/>
      <c r="J902" s="434"/>
      <c r="K902" s="434"/>
      <c r="L902" s="434"/>
      <c r="M902" s="434"/>
      <c r="N902" s="434"/>
      <c r="O902" s="434"/>
      <c r="P902" s="434"/>
      <c r="Q902" s="434"/>
      <c r="R902" s="434"/>
      <c r="S902" s="434"/>
      <c r="T902" s="434"/>
      <c r="U902" s="434"/>
    </row>
    <row r="903">
      <c r="A903" s="434"/>
      <c r="B903" s="434"/>
      <c r="C903" s="434"/>
      <c r="D903" s="434"/>
      <c r="E903" s="434"/>
      <c r="F903" s="434"/>
      <c r="G903" s="434"/>
      <c r="H903" s="434"/>
      <c r="I903" s="434"/>
      <c r="J903" s="434"/>
      <c r="K903" s="434"/>
      <c r="L903" s="434"/>
      <c r="M903" s="434"/>
      <c r="N903" s="434"/>
      <c r="O903" s="434"/>
      <c r="P903" s="434"/>
      <c r="Q903" s="434"/>
      <c r="R903" s="434"/>
      <c r="S903" s="434"/>
      <c r="T903" s="434"/>
      <c r="U903" s="434"/>
    </row>
    <row r="904">
      <c r="A904" s="434"/>
      <c r="B904" s="434"/>
      <c r="C904" s="434"/>
      <c r="D904" s="434"/>
      <c r="E904" s="434"/>
      <c r="F904" s="434"/>
      <c r="G904" s="434"/>
      <c r="H904" s="434"/>
      <c r="I904" s="434"/>
      <c r="J904" s="434"/>
      <c r="K904" s="434"/>
      <c r="L904" s="434"/>
      <c r="M904" s="434"/>
      <c r="N904" s="434"/>
      <c r="O904" s="434"/>
      <c r="P904" s="434"/>
      <c r="Q904" s="434"/>
      <c r="R904" s="434"/>
      <c r="S904" s="434"/>
      <c r="T904" s="434"/>
      <c r="U904" s="434"/>
    </row>
    <row r="905">
      <c r="A905" s="434"/>
      <c r="B905" s="434"/>
      <c r="C905" s="434"/>
      <c r="D905" s="434"/>
      <c r="E905" s="434"/>
      <c r="F905" s="434"/>
      <c r="G905" s="434"/>
      <c r="H905" s="434"/>
      <c r="I905" s="434"/>
      <c r="J905" s="434"/>
      <c r="K905" s="434"/>
      <c r="L905" s="434"/>
      <c r="M905" s="434"/>
      <c r="N905" s="434"/>
      <c r="O905" s="434"/>
      <c r="P905" s="434"/>
      <c r="Q905" s="434"/>
      <c r="R905" s="434"/>
      <c r="S905" s="434"/>
      <c r="T905" s="434"/>
      <c r="U905" s="434"/>
    </row>
    <row r="906">
      <c r="A906" s="434"/>
      <c r="B906" s="434"/>
      <c r="C906" s="434"/>
      <c r="D906" s="434"/>
      <c r="E906" s="434"/>
      <c r="F906" s="434"/>
      <c r="G906" s="434"/>
      <c r="H906" s="434"/>
      <c r="I906" s="434"/>
      <c r="J906" s="434"/>
      <c r="K906" s="434"/>
      <c r="L906" s="434"/>
      <c r="M906" s="434"/>
      <c r="N906" s="434"/>
      <c r="O906" s="434"/>
      <c r="P906" s="434"/>
      <c r="Q906" s="434"/>
      <c r="R906" s="434"/>
      <c r="S906" s="434"/>
      <c r="T906" s="434"/>
      <c r="U906" s="434"/>
    </row>
    <row r="907">
      <c r="A907" s="434"/>
      <c r="B907" s="434"/>
      <c r="C907" s="434"/>
      <c r="D907" s="434"/>
      <c r="E907" s="434"/>
      <c r="F907" s="434"/>
      <c r="G907" s="434"/>
      <c r="H907" s="434"/>
      <c r="I907" s="434"/>
      <c r="J907" s="434"/>
      <c r="K907" s="434"/>
      <c r="L907" s="434"/>
      <c r="M907" s="434"/>
      <c r="N907" s="434"/>
      <c r="O907" s="434"/>
      <c r="P907" s="434"/>
      <c r="Q907" s="434"/>
      <c r="R907" s="434"/>
      <c r="S907" s="434"/>
      <c r="T907" s="434"/>
      <c r="U907" s="434"/>
    </row>
    <row r="908">
      <c r="A908" s="434"/>
      <c r="B908" s="434"/>
      <c r="C908" s="434"/>
      <c r="D908" s="434"/>
      <c r="E908" s="434"/>
      <c r="F908" s="434"/>
      <c r="G908" s="434"/>
      <c r="H908" s="434"/>
      <c r="I908" s="434"/>
      <c r="J908" s="434"/>
      <c r="K908" s="434"/>
      <c r="L908" s="434"/>
      <c r="M908" s="434"/>
      <c r="N908" s="434"/>
      <c r="O908" s="434"/>
      <c r="P908" s="434"/>
      <c r="Q908" s="434"/>
      <c r="R908" s="434"/>
      <c r="S908" s="434"/>
      <c r="T908" s="434"/>
      <c r="U908" s="434"/>
    </row>
    <row r="909">
      <c r="A909" s="434"/>
      <c r="B909" s="434"/>
      <c r="C909" s="434"/>
      <c r="D909" s="434"/>
      <c r="E909" s="434"/>
      <c r="F909" s="434"/>
      <c r="G909" s="434"/>
      <c r="H909" s="434"/>
      <c r="I909" s="434"/>
      <c r="J909" s="434"/>
      <c r="K909" s="434"/>
      <c r="L909" s="434"/>
      <c r="M909" s="434"/>
      <c r="N909" s="434"/>
      <c r="O909" s="434"/>
      <c r="P909" s="434"/>
      <c r="Q909" s="434"/>
      <c r="R909" s="434"/>
      <c r="S909" s="434"/>
      <c r="T909" s="434"/>
      <c r="U909" s="434"/>
    </row>
    <row r="910">
      <c r="A910" s="434"/>
      <c r="B910" s="434"/>
      <c r="C910" s="434"/>
      <c r="D910" s="434"/>
      <c r="E910" s="434"/>
      <c r="F910" s="434"/>
      <c r="G910" s="434"/>
      <c r="H910" s="434"/>
      <c r="I910" s="434"/>
      <c r="J910" s="434"/>
      <c r="K910" s="434"/>
      <c r="L910" s="434"/>
      <c r="M910" s="434"/>
      <c r="N910" s="434"/>
      <c r="O910" s="434"/>
      <c r="P910" s="434"/>
      <c r="Q910" s="434"/>
      <c r="R910" s="434"/>
      <c r="S910" s="434"/>
      <c r="T910" s="434"/>
      <c r="U910" s="434"/>
    </row>
    <row r="911">
      <c r="A911" s="434"/>
      <c r="B911" s="434"/>
      <c r="C911" s="434"/>
      <c r="D911" s="434"/>
      <c r="E911" s="434"/>
      <c r="F911" s="434"/>
      <c r="G911" s="434"/>
      <c r="H911" s="434"/>
      <c r="I911" s="434"/>
      <c r="J911" s="434"/>
      <c r="K911" s="434"/>
      <c r="L911" s="434"/>
      <c r="M911" s="434"/>
      <c r="N911" s="434"/>
      <c r="O911" s="434"/>
      <c r="P911" s="434"/>
      <c r="Q911" s="434"/>
      <c r="R911" s="434"/>
      <c r="S911" s="434"/>
      <c r="T911" s="434"/>
      <c r="U911" s="434"/>
    </row>
    <row r="912">
      <c r="A912" s="434"/>
      <c r="B912" s="434"/>
      <c r="C912" s="434"/>
      <c r="D912" s="434"/>
      <c r="E912" s="434"/>
      <c r="F912" s="434"/>
      <c r="G912" s="434"/>
      <c r="H912" s="434"/>
      <c r="I912" s="434"/>
      <c r="J912" s="434"/>
      <c r="K912" s="434"/>
      <c r="L912" s="434"/>
      <c r="M912" s="434"/>
      <c r="N912" s="434"/>
      <c r="O912" s="434"/>
      <c r="P912" s="434"/>
      <c r="Q912" s="434"/>
      <c r="R912" s="434"/>
      <c r="S912" s="434"/>
      <c r="T912" s="434"/>
      <c r="U912" s="434"/>
    </row>
    <row r="913">
      <c r="A913" s="434"/>
      <c r="B913" s="434"/>
      <c r="C913" s="434"/>
      <c r="D913" s="434"/>
      <c r="E913" s="434"/>
      <c r="F913" s="434"/>
      <c r="G913" s="434"/>
      <c r="H913" s="434"/>
      <c r="I913" s="434"/>
      <c r="J913" s="434"/>
      <c r="K913" s="434"/>
      <c r="L913" s="434"/>
      <c r="M913" s="434"/>
      <c r="N913" s="434"/>
      <c r="O913" s="434"/>
      <c r="P913" s="434"/>
      <c r="Q913" s="434"/>
      <c r="R913" s="434"/>
      <c r="S913" s="434"/>
      <c r="T913" s="434"/>
      <c r="U913" s="434"/>
    </row>
    <row r="914">
      <c r="A914" s="434"/>
      <c r="B914" s="434"/>
      <c r="C914" s="434"/>
      <c r="D914" s="434"/>
      <c r="E914" s="434"/>
      <c r="F914" s="434"/>
      <c r="G914" s="434"/>
      <c r="H914" s="434"/>
      <c r="I914" s="434"/>
      <c r="J914" s="434"/>
      <c r="K914" s="434"/>
      <c r="L914" s="434"/>
      <c r="M914" s="434"/>
      <c r="N914" s="434"/>
      <c r="O914" s="434"/>
      <c r="P914" s="434"/>
      <c r="Q914" s="434"/>
      <c r="R914" s="434"/>
      <c r="S914" s="434"/>
      <c r="T914" s="434"/>
      <c r="U914" s="434"/>
    </row>
    <row r="915">
      <c r="A915" s="434"/>
      <c r="B915" s="434"/>
      <c r="C915" s="434"/>
      <c r="D915" s="434"/>
      <c r="E915" s="434"/>
      <c r="F915" s="434"/>
      <c r="G915" s="434"/>
      <c r="H915" s="434"/>
      <c r="I915" s="434"/>
      <c r="J915" s="434"/>
      <c r="K915" s="434"/>
      <c r="L915" s="434"/>
      <c r="M915" s="434"/>
      <c r="N915" s="434"/>
      <c r="O915" s="434"/>
      <c r="P915" s="434"/>
      <c r="Q915" s="434"/>
      <c r="R915" s="434"/>
      <c r="S915" s="434"/>
      <c r="T915" s="434"/>
      <c r="U915" s="434"/>
    </row>
    <row r="916">
      <c r="A916" s="434"/>
      <c r="B916" s="434"/>
      <c r="C916" s="434"/>
      <c r="D916" s="434"/>
      <c r="E916" s="434"/>
      <c r="F916" s="434"/>
      <c r="G916" s="434"/>
      <c r="H916" s="434"/>
      <c r="I916" s="434"/>
      <c r="J916" s="434"/>
      <c r="K916" s="434"/>
      <c r="L916" s="434"/>
      <c r="M916" s="434"/>
      <c r="N916" s="434"/>
      <c r="O916" s="434"/>
      <c r="P916" s="434"/>
      <c r="Q916" s="434"/>
      <c r="R916" s="434"/>
      <c r="S916" s="434"/>
      <c r="T916" s="434"/>
      <c r="U916" s="434"/>
    </row>
    <row r="917">
      <c r="A917" s="434"/>
      <c r="B917" s="434"/>
      <c r="C917" s="434"/>
      <c r="D917" s="434"/>
      <c r="E917" s="434"/>
      <c r="F917" s="434"/>
      <c r="G917" s="434"/>
      <c r="H917" s="434"/>
      <c r="I917" s="434"/>
      <c r="J917" s="434"/>
      <c r="K917" s="434"/>
      <c r="L917" s="434"/>
      <c r="M917" s="434"/>
      <c r="N917" s="434"/>
      <c r="O917" s="434"/>
      <c r="P917" s="434"/>
      <c r="Q917" s="434"/>
      <c r="R917" s="434"/>
      <c r="S917" s="434"/>
      <c r="T917" s="434"/>
      <c r="U917" s="434"/>
    </row>
    <row r="918">
      <c r="A918" s="434"/>
      <c r="B918" s="434"/>
      <c r="C918" s="434"/>
      <c r="D918" s="434"/>
      <c r="E918" s="434"/>
      <c r="F918" s="434"/>
      <c r="G918" s="434"/>
      <c r="H918" s="434"/>
      <c r="I918" s="434"/>
      <c r="J918" s="434"/>
      <c r="K918" s="434"/>
      <c r="L918" s="434"/>
      <c r="M918" s="434"/>
      <c r="N918" s="434"/>
      <c r="O918" s="434"/>
      <c r="P918" s="434"/>
      <c r="Q918" s="434"/>
      <c r="R918" s="434"/>
      <c r="S918" s="434"/>
      <c r="T918" s="434"/>
      <c r="U918" s="434"/>
    </row>
    <row r="919">
      <c r="A919" s="434"/>
      <c r="B919" s="434"/>
      <c r="C919" s="434"/>
      <c r="D919" s="434"/>
      <c r="E919" s="434"/>
      <c r="F919" s="434"/>
      <c r="G919" s="434"/>
      <c r="H919" s="434"/>
      <c r="I919" s="434"/>
      <c r="J919" s="434"/>
      <c r="K919" s="434"/>
      <c r="L919" s="434"/>
      <c r="M919" s="434"/>
      <c r="N919" s="434"/>
      <c r="O919" s="434"/>
      <c r="P919" s="434"/>
      <c r="Q919" s="434"/>
      <c r="R919" s="434"/>
      <c r="S919" s="434"/>
      <c r="T919" s="434"/>
      <c r="U919" s="434"/>
    </row>
    <row r="920">
      <c r="A920" s="434"/>
      <c r="B920" s="434"/>
      <c r="C920" s="434"/>
      <c r="D920" s="434"/>
      <c r="E920" s="434"/>
      <c r="F920" s="434"/>
      <c r="G920" s="434"/>
      <c r="H920" s="434"/>
      <c r="I920" s="434"/>
      <c r="J920" s="434"/>
      <c r="K920" s="434"/>
      <c r="L920" s="434"/>
      <c r="M920" s="434"/>
      <c r="N920" s="434"/>
      <c r="O920" s="434"/>
      <c r="P920" s="434"/>
      <c r="Q920" s="434"/>
      <c r="R920" s="434"/>
      <c r="S920" s="434"/>
      <c r="T920" s="434"/>
      <c r="U920" s="434"/>
    </row>
    <row r="921">
      <c r="A921" s="434"/>
      <c r="B921" s="434"/>
      <c r="C921" s="434"/>
      <c r="D921" s="434"/>
      <c r="E921" s="434"/>
      <c r="F921" s="434"/>
      <c r="G921" s="434"/>
      <c r="H921" s="434"/>
      <c r="I921" s="434"/>
      <c r="J921" s="434"/>
      <c r="K921" s="434"/>
      <c r="L921" s="434"/>
      <c r="M921" s="434"/>
      <c r="N921" s="434"/>
      <c r="O921" s="434"/>
      <c r="P921" s="434"/>
      <c r="Q921" s="434"/>
      <c r="R921" s="434"/>
      <c r="S921" s="434"/>
      <c r="T921" s="434"/>
      <c r="U921" s="434"/>
    </row>
    <row r="922">
      <c r="A922" s="434"/>
      <c r="B922" s="434"/>
      <c r="C922" s="434"/>
      <c r="D922" s="434"/>
      <c r="E922" s="434"/>
      <c r="F922" s="434"/>
      <c r="G922" s="434"/>
      <c r="H922" s="434"/>
      <c r="I922" s="434"/>
      <c r="J922" s="434"/>
      <c r="K922" s="434"/>
      <c r="L922" s="434"/>
      <c r="M922" s="434"/>
      <c r="N922" s="434"/>
      <c r="O922" s="434"/>
      <c r="P922" s="434"/>
      <c r="Q922" s="434"/>
      <c r="R922" s="434"/>
      <c r="S922" s="434"/>
      <c r="T922" s="434"/>
      <c r="U922" s="434"/>
    </row>
    <row r="923">
      <c r="A923" s="434"/>
      <c r="B923" s="434"/>
      <c r="C923" s="434"/>
      <c r="D923" s="434"/>
      <c r="E923" s="434"/>
      <c r="F923" s="434"/>
      <c r="G923" s="434"/>
      <c r="H923" s="434"/>
      <c r="I923" s="434"/>
      <c r="J923" s="434"/>
      <c r="K923" s="434"/>
      <c r="L923" s="434"/>
      <c r="M923" s="434"/>
      <c r="N923" s="434"/>
      <c r="O923" s="434"/>
      <c r="P923" s="434"/>
      <c r="Q923" s="434"/>
      <c r="R923" s="434"/>
      <c r="S923" s="434"/>
      <c r="T923" s="434"/>
      <c r="U923" s="434"/>
    </row>
    <row r="924">
      <c r="A924" s="434"/>
      <c r="B924" s="434"/>
      <c r="C924" s="434"/>
      <c r="D924" s="434"/>
      <c r="E924" s="434"/>
      <c r="F924" s="434"/>
      <c r="G924" s="434"/>
      <c r="H924" s="434"/>
      <c r="I924" s="434"/>
      <c r="J924" s="434"/>
      <c r="K924" s="434"/>
      <c r="L924" s="434"/>
      <c r="M924" s="434"/>
      <c r="N924" s="434"/>
      <c r="O924" s="434"/>
      <c r="P924" s="434"/>
      <c r="Q924" s="434"/>
      <c r="R924" s="434"/>
      <c r="S924" s="434"/>
      <c r="T924" s="434"/>
      <c r="U924" s="434"/>
    </row>
    <row r="925">
      <c r="A925" s="434"/>
      <c r="B925" s="434"/>
      <c r="C925" s="434"/>
      <c r="D925" s="434"/>
      <c r="E925" s="434"/>
      <c r="F925" s="434"/>
      <c r="G925" s="434"/>
      <c r="H925" s="434"/>
      <c r="I925" s="434"/>
      <c r="J925" s="434"/>
      <c r="K925" s="434"/>
      <c r="L925" s="434"/>
      <c r="M925" s="434"/>
      <c r="N925" s="434"/>
      <c r="O925" s="434"/>
      <c r="P925" s="434"/>
      <c r="Q925" s="434"/>
      <c r="R925" s="434"/>
      <c r="S925" s="434"/>
      <c r="T925" s="434"/>
      <c r="U925" s="434"/>
    </row>
    <row r="926">
      <c r="A926" s="434"/>
      <c r="B926" s="434"/>
      <c r="C926" s="434"/>
      <c r="D926" s="434"/>
      <c r="E926" s="434"/>
      <c r="F926" s="434"/>
      <c r="G926" s="434"/>
      <c r="H926" s="434"/>
      <c r="I926" s="434"/>
      <c r="J926" s="434"/>
      <c r="K926" s="434"/>
      <c r="L926" s="434"/>
      <c r="M926" s="434"/>
      <c r="N926" s="434"/>
      <c r="O926" s="434"/>
      <c r="P926" s="434"/>
      <c r="Q926" s="434"/>
      <c r="R926" s="434"/>
      <c r="S926" s="434"/>
      <c r="T926" s="434"/>
      <c r="U926" s="434"/>
    </row>
    <row r="927">
      <c r="A927" s="434"/>
      <c r="B927" s="434"/>
      <c r="C927" s="434"/>
      <c r="D927" s="434"/>
      <c r="E927" s="434"/>
      <c r="F927" s="434"/>
      <c r="G927" s="434"/>
      <c r="H927" s="434"/>
      <c r="I927" s="434"/>
      <c r="J927" s="434"/>
      <c r="K927" s="434"/>
      <c r="L927" s="434"/>
      <c r="M927" s="434"/>
      <c r="N927" s="434"/>
      <c r="O927" s="434"/>
      <c r="P927" s="434"/>
      <c r="Q927" s="434"/>
      <c r="R927" s="434"/>
      <c r="S927" s="434"/>
      <c r="T927" s="434"/>
      <c r="U927" s="434"/>
    </row>
    <row r="928">
      <c r="A928" s="434"/>
      <c r="B928" s="434"/>
      <c r="C928" s="434"/>
      <c r="D928" s="434"/>
      <c r="E928" s="434"/>
      <c r="F928" s="434"/>
      <c r="G928" s="434"/>
      <c r="H928" s="434"/>
      <c r="I928" s="434"/>
      <c r="J928" s="434"/>
      <c r="K928" s="434"/>
      <c r="L928" s="434"/>
      <c r="M928" s="434"/>
      <c r="N928" s="434"/>
      <c r="O928" s="434"/>
      <c r="P928" s="434"/>
      <c r="Q928" s="434"/>
      <c r="R928" s="434"/>
      <c r="S928" s="434"/>
      <c r="T928" s="434"/>
      <c r="U928" s="434"/>
    </row>
    <row r="929">
      <c r="A929" s="434"/>
      <c r="B929" s="434"/>
      <c r="C929" s="434"/>
      <c r="D929" s="434"/>
      <c r="E929" s="434"/>
      <c r="F929" s="434"/>
      <c r="G929" s="434"/>
      <c r="H929" s="434"/>
      <c r="I929" s="434"/>
      <c r="J929" s="434"/>
      <c r="K929" s="434"/>
      <c r="L929" s="434"/>
      <c r="M929" s="434"/>
      <c r="N929" s="434"/>
      <c r="O929" s="434"/>
      <c r="P929" s="434"/>
      <c r="Q929" s="434"/>
      <c r="R929" s="434"/>
      <c r="S929" s="434"/>
      <c r="T929" s="434"/>
      <c r="U929" s="434"/>
    </row>
    <row r="930">
      <c r="A930" s="434"/>
      <c r="B930" s="434"/>
      <c r="C930" s="434"/>
      <c r="D930" s="434"/>
      <c r="E930" s="434"/>
      <c r="F930" s="434"/>
      <c r="G930" s="434"/>
      <c r="H930" s="434"/>
      <c r="I930" s="434"/>
      <c r="J930" s="434"/>
      <c r="K930" s="434"/>
      <c r="L930" s="434"/>
      <c r="M930" s="434"/>
      <c r="N930" s="434"/>
      <c r="O930" s="434"/>
      <c r="P930" s="434"/>
      <c r="Q930" s="434"/>
      <c r="R930" s="434"/>
      <c r="S930" s="434"/>
      <c r="T930" s="434"/>
      <c r="U930" s="434"/>
    </row>
    <row r="931">
      <c r="A931" s="434"/>
      <c r="B931" s="434"/>
      <c r="C931" s="434"/>
      <c r="D931" s="434"/>
      <c r="E931" s="434"/>
      <c r="F931" s="434"/>
      <c r="G931" s="434"/>
      <c r="H931" s="434"/>
      <c r="I931" s="434"/>
      <c r="J931" s="434"/>
      <c r="K931" s="434"/>
      <c r="L931" s="434"/>
      <c r="M931" s="434"/>
      <c r="N931" s="434"/>
      <c r="O931" s="434"/>
      <c r="P931" s="434"/>
      <c r="Q931" s="434"/>
      <c r="R931" s="434"/>
      <c r="S931" s="434"/>
      <c r="T931" s="434"/>
      <c r="U931" s="434"/>
    </row>
    <row r="932">
      <c r="A932" s="434"/>
      <c r="B932" s="434"/>
      <c r="C932" s="434"/>
      <c r="D932" s="434"/>
      <c r="E932" s="434"/>
      <c r="F932" s="434"/>
      <c r="G932" s="434"/>
      <c r="H932" s="434"/>
      <c r="I932" s="434"/>
      <c r="J932" s="434"/>
      <c r="K932" s="434"/>
      <c r="L932" s="434"/>
      <c r="M932" s="434"/>
      <c r="N932" s="434"/>
      <c r="O932" s="434"/>
      <c r="P932" s="434"/>
      <c r="Q932" s="434"/>
      <c r="R932" s="434"/>
      <c r="S932" s="434"/>
      <c r="T932" s="434"/>
      <c r="U932" s="434"/>
    </row>
    <row r="933">
      <c r="A933" s="434"/>
      <c r="B933" s="434"/>
      <c r="C933" s="434"/>
      <c r="D933" s="434"/>
      <c r="E933" s="434"/>
      <c r="F933" s="434"/>
      <c r="G933" s="434"/>
      <c r="H933" s="434"/>
      <c r="I933" s="434"/>
      <c r="J933" s="434"/>
      <c r="K933" s="434"/>
      <c r="L933" s="434"/>
      <c r="M933" s="434"/>
      <c r="N933" s="434"/>
      <c r="O933" s="434"/>
      <c r="P933" s="434"/>
      <c r="Q933" s="434"/>
      <c r="R933" s="434"/>
      <c r="S933" s="434"/>
      <c r="T933" s="434"/>
      <c r="U933" s="434"/>
    </row>
    <row r="934">
      <c r="A934" s="434"/>
      <c r="B934" s="434"/>
      <c r="C934" s="434"/>
      <c r="D934" s="434"/>
      <c r="E934" s="434"/>
      <c r="F934" s="434"/>
      <c r="G934" s="434"/>
      <c r="H934" s="434"/>
      <c r="I934" s="434"/>
      <c r="J934" s="434"/>
      <c r="K934" s="434"/>
      <c r="L934" s="434"/>
      <c r="M934" s="434"/>
      <c r="N934" s="434"/>
      <c r="O934" s="434"/>
      <c r="P934" s="434"/>
      <c r="Q934" s="434"/>
      <c r="R934" s="434"/>
      <c r="S934" s="434"/>
      <c r="T934" s="434"/>
      <c r="U934" s="434"/>
    </row>
    <row r="935">
      <c r="A935" s="434"/>
      <c r="B935" s="434"/>
      <c r="C935" s="434"/>
      <c r="D935" s="434"/>
      <c r="E935" s="434"/>
      <c r="F935" s="434"/>
      <c r="G935" s="434"/>
      <c r="H935" s="434"/>
      <c r="I935" s="434"/>
      <c r="J935" s="434"/>
      <c r="K935" s="434"/>
      <c r="L935" s="434"/>
      <c r="M935" s="434"/>
      <c r="N935" s="434"/>
      <c r="O935" s="434"/>
      <c r="P935" s="434"/>
      <c r="Q935" s="434"/>
      <c r="R935" s="434"/>
      <c r="S935" s="434"/>
      <c r="T935" s="434"/>
      <c r="U935" s="434"/>
    </row>
    <row r="936">
      <c r="A936" s="434"/>
      <c r="B936" s="434"/>
      <c r="C936" s="434"/>
      <c r="D936" s="434"/>
      <c r="E936" s="434"/>
      <c r="F936" s="434"/>
      <c r="G936" s="434"/>
      <c r="H936" s="434"/>
      <c r="I936" s="434"/>
      <c r="J936" s="434"/>
      <c r="K936" s="434"/>
      <c r="L936" s="434"/>
      <c r="M936" s="434"/>
      <c r="N936" s="434"/>
      <c r="O936" s="434"/>
      <c r="P936" s="434"/>
      <c r="Q936" s="434"/>
      <c r="R936" s="434"/>
      <c r="S936" s="434"/>
      <c r="T936" s="434"/>
      <c r="U936" s="434"/>
    </row>
    <row r="937">
      <c r="A937" s="434"/>
      <c r="B937" s="434"/>
      <c r="C937" s="434"/>
      <c r="D937" s="434"/>
      <c r="E937" s="434"/>
      <c r="F937" s="434"/>
      <c r="G937" s="434"/>
      <c r="H937" s="434"/>
      <c r="I937" s="434"/>
      <c r="J937" s="434"/>
      <c r="K937" s="434"/>
      <c r="L937" s="434"/>
      <c r="M937" s="434"/>
      <c r="N937" s="434"/>
      <c r="O937" s="434"/>
      <c r="P937" s="434"/>
      <c r="Q937" s="434"/>
      <c r="R937" s="434"/>
      <c r="S937" s="434"/>
      <c r="T937" s="434"/>
      <c r="U937" s="434"/>
    </row>
    <row r="938">
      <c r="A938" s="434"/>
      <c r="B938" s="434"/>
      <c r="C938" s="434"/>
      <c r="D938" s="434"/>
      <c r="E938" s="434"/>
      <c r="F938" s="434"/>
      <c r="G938" s="434"/>
      <c r="H938" s="434"/>
      <c r="I938" s="434"/>
      <c r="J938" s="434"/>
      <c r="K938" s="434"/>
      <c r="L938" s="434"/>
      <c r="M938" s="434"/>
      <c r="N938" s="434"/>
      <c r="O938" s="434"/>
      <c r="P938" s="434"/>
      <c r="Q938" s="434"/>
      <c r="R938" s="434"/>
      <c r="S938" s="434"/>
      <c r="T938" s="434"/>
      <c r="U938" s="434"/>
    </row>
    <row r="939">
      <c r="A939" s="434"/>
      <c r="B939" s="434"/>
      <c r="C939" s="434"/>
      <c r="D939" s="434"/>
      <c r="E939" s="434"/>
      <c r="F939" s="434"/>
      <c r="G939" s="434"/>
      <c r="H939" s="434"/>
      <c r="I939" s="434"/>
      <c r="J939" s="434"/>
      <c r="K939" s="434"/>
      <c r="L939" s="434"/>
      <c r="M939" s="434"/>
      <c r="N939" s="434"/>
      <c r="O939" s="434"/>
      <c r="P939" s="434"/>
      <c r="Q939" s="434"/>
      <c r="R939" s="434"/>
      <c r="S939" s="434"/>
      <c r="T939" s="434"/>
      <c r="U939" s="434"/>
    </row>
    <row r="940">
      <c r="A940" s="434"/>
      <c r="B940" s="434"/>
      <c r="C940" s="434"/>
      <c r="D940" s="434"/>
      <c r="E940" s="434"/>
      <c r="F940" s="434"/>
      <c r="G940" s="434"/>
      <c r="H940" s="434"/>
      <c r="I940" s="434"/>
      <c r="J940" s="434"/>
      <c r="K940" s="434"/>
      <c r="L940" s="434"/>
      <c r="M940" s="434"/>
      <c r="N940" s="434"/>
      <c r="O940" s="434"/>
      <c r="P940" s="434"/>
      <c r="Q940" s="434"/>
      <c r="R940" s="434"/>
      <c r="S940" s="434"/>
      <c r="T940" s="434"/>
      <c r="U940" s="434"/>
    </row>
    <row r="941">
      <c r="A941" s="434"/>
      <c r="B941" s="434"/>
      <c r="C941" s="434"/>
      <c r="D941" s="434"/>
      <c r="E941" s="434"/>
      <c r="F941" s="434"/>
      <c r="G941" s="434"/>
      <c r="H941" s="434"/>
      <c r="I941" s="434"/>
      <c r="J941" s="434"/>
      <c r="K941" s="434"/>
      <c r="L941" s="434"/>
      <c r="M941" s="434"/>
      <c r="N941" s="434"/>
      <c r="O941" s="434"/>
      <c r="P941" s="434"/>
      <c r="Q941" s="434"/>
      <c r="R941" s="434"/>
      <c r="S941" s="434"/>
      <c r="T941" s="434"/>
      <c r="U941" s="434"/>
    </row>
    <row r="942">
      <c r="A942" s="434"/>
      <c r="B942" s="434"/>
      <c r="C942" s="434"/>
      <c r="D942" s="434"/>
      <c r="E942" s="434"/>
      <c r="F942" s="434"/>
      <c r="G942" s="434"/>
      <c r="H942" s="434"/>
      <c r="I942" s="434"/>
      <c r="J942" s="434"/>
      <c r="K942" s="434"/>
      <c r="L942" s="434"/>
      <c r="M942" s="434"/>
      <c r="N942" s="434"/>
      <c r="O942" s="434"/>
      <c r="P942" s="434"/>
      <c r="Q942" s="434"/>
      <c r="R942" s="434"/>
      <c r="S942" s="434"/>
      <c r="T942" s="434"/>
      <c r="U942" s="434"/>
    </row>
    <row r="943">
      <c r="A943" s="434"/>
      <c r="B943" s="434"/>
      <c r="C943" s="434"/>
      <c r="D943" s="434"/>
      <c r="E943" s="434"/>
      <c r="F943" s="434"/>
      <c r="G943" s="434"/>
      <c r="H943" s="434"/>
      <c r="I943" s="434"/>
      <c r="J943" s="434"/>
      <c r="K943" s="434"/>
      <c r="L943" s="434"/>
      <c r="M943" s="434"/>
      <c r="N943" s="434"/>
      <c r="O943" s="434"/>
      <c r="P943" s="434"/>
      <c r="Q943" s="434"/>
      <c r="R943" s="434"/>
      <c r="S943" s="434"/>
      <c r="T943" s="434"/>
      <c r="U943" s="434"/>
    </row>
    <row r="944">
      <c r="A944" s="434"/>
      <c r="B944" s="434"/>
      <c r="C944" s="434"/>
      <c r="D944" s="434"/>
      <c r="E944" s="434"/>
      <c r="F944" s="434"/>
      <c r="G944" s="434"/>
      <c r="H944" s="434"/>
      <c r="I944" s="434"/>
      <c r="J944" s="434"/>
      <c r="K944" s="434"/>
      <c r="L944" s="434"/>
      <c r="M944" s="434"/>
      <c r="N944" s="434"/>
      <c r="O944" s="434"/>
      <c r="P944" s="434"/>
      <c r="Q944" s="434"/>
      <c r="R944" s="434"/>
      <c r="S944" s="434"/>
      <c r="T944" s="434"/>
      <c r="U944" s="434"/>
    </row>
    <row r="945">
      <c r="A945" s="434"/>
      <c r="B945" s="434"/>
      <c r="C945" s="434"/>
      <c r="D945" s="434"/>
      <c r="E945" s="434"/>
      <c r="F945" s="434"/>
      <c r="G945" s="434"/>
      <c r="H945" s="434"/>
      <c r="I945" s="434"/>
      <c r="J945" s="434"/>
      <c r="K945" s="434"/>
      <c r="L945" s="434"/>
      <c r="M945" s="434"/>
      <c r="N945" s="434"/>
      <c r="O945" s="434"/>
      <c r="P945" s="434"/>
      <c r="Q945" s="434"/>
      <c r="R945" s="434"/>
      <c r="S945" s="434"/>
      <c r="T945" s="434"/>
      <c r="U945" s="434"/>
    </row>
    <row r="946">
      <c r="A946" s="434"/>
      <c r="B946" s="434"/>
      <c r="C946" s="434"/>
      <c r="D946" s="434"/>
      <c r="E946" s="434"/>
      <c r="F946" s="434"/>
      <c r="G946" s="434"/>
      <c r="H946" s="434"/>
      <c r="I946" s="434"/>
      <c r="J946" s="434"/>
      <c r="K946" s="434"/>
      <c r="L946" s="434"/>
      <c r="M946" s="434"/>
      <c r="N946" s="434"/>
      <c r="O946" s="434"/>
      <c r="P946" s="434"/>
      <c r="Q946" s="434"/>
      <c r="R946" s="434"/>
      <c r="S946" s="434"/>
      <c r="T946" s="434"/>
      <c r="U946" s="434"/>
    </row>
    <row r="947">
      <c r="A947" s="434"/>
      <c r="B947" s="434"/>
      <c r="C947" s="434"/>
      <c r="D947" s="434"/>
      <c r="E947" s="434"/>
      <c r="F947" s="434"/>
      <c r="G947" s="434"/>
      <c r="H947" s="434"/>
      <c r="I947" s="434"/>
      <c r="J947" s="434"/>
      <c r="K947" s="434"/>
      <c r="L947" s="434"/>
      <c r="M947" s="434"/>
      <c r="N947" s="434"/>
      <c r="O947" s="434"/>
      <c r="P947" s="434"/>
      <c r="Q947" s="434"/>
      <c r="R947" s="434"/>
      <c r="S947" s="434"/>
      <c r="T947" s="434"/>
      <c r="U947" s="434"/>
    </row>
    <row r="948">
      <c r="A948" s="434"/>
      <c r="B948" s="434"/>
      <c r="C948" s="434"/>
      <c r="D948" s="434"/>
      <c r="E948" s="434"/>
      <c r="F948" s="434"/>
      <c r="G948" s="434"/>
      <c r="H948" s="434"/>
      <c r="I948" s="434"/>
      <c r="J948" s="434"/>
      <c r="K948" s="434"/>
      <c r="L948" s="434"/>
      <c r="M948" s="434"/>
      <c r="N948" s="434"/>
      <c r="O948" s="434"/>
      <c r="P948" s="434"/>
      <c r="Q948" s="434"/>
      <c r="R948" s="434"/>
      <c r="S948" s="434"/>
      <c r="T948" s="434"/>
      <c r="U948" s="434"/>
    </row>
    <row r="949">
      <c r="A949" s="434"/>
      <c r="B949" s="434"/>
      <c r="C949" s="434"/>
      <c r="D949" s="434"/>
      <c r="E949" s="434"/>
      <c r="F949" s="434"/>
      <c r="G949" s="434"/>
      <c r="H949" s="434"/>
      <c r="I949" s="434"/>
      <c r="J949" s="434"/>
      <c r="K949" s="434"/>
      <c r="L949" s="434"/>
      <c r="M949" s="434"/>
      <c r="N949" s="434"/>
      <c r="O949" s="434"/>
      <c r="P949" s="434"/>
      <c r="Q949" s="434"/>
      <c r="R949" s="434"/>
      <c r="S949" s="434"/>
      <c r="T949" s="434"/>
      <c r="U949" s="434"/>
    </row>
    <row r="950">
      <c r="A950" s="434"/>
      <c r="B950" s="434"/>
      <c r="C950" s="434"/>
      <c r="D950" s="434"/>
      <c r="E950" s="434"/>
      <c r="F950" s="434"/>
      <c r="G950" s="434"/>
      <c r="H950" s="434"/>
      <c r="I950" s="434"/>
      <c r="J950" s="434"/>
      <c r="K950" s="434"/>
      <c r="L950" s="434"/>
      <c r="M950" s="434"/>
      <c r="N950" s="434"/>
      <c r="O950" s="434"/>
      <c r="P950" s="434"/>
      <c r="Q950" s="434"/>
      <c r="R950" s="434"/>
      <c r="S950" s="434"/>
      <c r="T950" s="434"/>
      <c r="U950" s="434"/>
    </row>
    <row r="951">
      <c r="A951" s="434"/>
      <c r="B951" s="434"/>
      <c r="C951" s="434"/>
      <c r="D951" s="434"/>
      <c r="E951" s="434"/>
      <c r="F951" s="434"/>
      <c r="G951" s="434"/>
      <c r="H951" s="434"/>
      <c r="I951" s="434"/>
      <c r="J951" s="434"/>
      <c r="K951" s="434"/>
      <c r="L951" s="434"/>
      <c r="M951" s="434"/>
      <c r="N951" s="434"/>
      <c r="O951" s="434"/>
      <c r="P951" s="434"/>
      <c r="Q951" s="434"/>
      <c r="R951" s="434"/>
      <c r="S951" s="434"/>
      <c r="T951" s="434"/>
      <c r="U951" s="434"/>
    </row>
    <row r="952">
      <c r="A952" s="434"/>
      <c r="B952" s="434"/>
      <c r="C952" s="434"/>
      <c r="D952" s="434"/>
      <c r="E952" s="434"/>
      <c r="F952" s="434"/>
      <c r="G952" s="434"/>
      <c r="H952" s="434"/>
      <c r="I952" s="434"/>
      <c r="J952" s="434"/>
      <c r="K952" s="434"/>
      <c r="L952" s="434"/>
      <c r="M952" s="434"/>
      <c r="N952" s="434"/>
      <c r="O952" s="434"/>
      <c r="P952" s="434"/>
      <c r="Q952" s="434"/>
      <c r="R952" s="434"/>
      <c r="S952" s="434"/>
      <c r="T952" s="434"/>
      <c r="U952" s="434"/>
    </row>
    <row r="953">
      <c r="A953" s="434"/>
      <c r="B953" s="434"/>
      <c r="C953" s="434"/>
      <c r="D953" s="434"/>
      <c r="E953" s="434"/>
      <c r="F953" s="434"/>
      <c r="G953" s="434"/>
      <c r="H953" s="434"/>
      <c r="I953" s="434"/>
      <c r="J953" s="434"/>
      <c r="K953" s="434"/>
      <c r="L953" s="434"/>
      <c r="M953" s="434"/>
      <c r="N953" s="434"/>
      <c r="O953" s="434"/>
      <c r="P953" s="434"/>
      <c r="Q953" s="434"/>
      <c r="R953" s="434"/>
      <c r="S953" s="434"/>
      <c r="T953" s="434"/>
      <c r="U953" s="434"/>
    </row>
    <row r="954">
      <c r="A954" s="434"/>
      <c r="B954" s="434"/>
      <c r="C954" s="434"/>
      <c r="D954" s="434"/>
      <c r="E954" s="434"/>
      <c r="F954" s="434"/>
      <c r="G954" s="434"/>
      <c r="H954" s="434"/>
      <c r="I954" s="434"/>
      <c r="J954" s="434"/>
      <c r="K954" s="434"/>
      <c r="L954" s="434"/>
      <c r="M954" s="434"/>
      <c r="N954" s="434"/>
      <c r="O954" s="434"/>
      <c r="P954" s="434"/>
      <c r="Q954" s="434"/>
      <c r="R954" s="434"/>
      <c r="S954" s="434"/>
      <c r="T954" s="434"/>
      <c r="U954" s="434"/>
    </row>
    <row r="955">
      <c r="A955" s="434"/>
      <c r="B955" s="434"/>
      <c r="C955" s="434"/>
      <c r="D955" s="434"/>
      <c r="E955" s="434"/>
      <c r="F955" s="434"/>
      <c r="G955" s="434"/>
      <c r="H955" s="434"/>
      <c r="I955" s="434"/>
      <c r="J955" s="434"/>
      <c r="K955" s="434"/>
      <c r="L955" s="434"/>
      <c r="M955" s="434"/>
      <c r="N955" s="434"/>
      <c r="O955" s="434"/>
      <c r="P955" s="434"/>
      <c r="Q955" s="434"/>
      <c r="R955" s="434"/>
      <c r="S955" s="434"/>
      <c r="T955" s="434"/>
      <c r="U955" s="434"/>
    </row>
    <row r="956">
      <c r="A956" s="434"/>
      <c r="B956" s="434"/>
      <c r="C956" s="434"/>
      <c r="D956" s="434"/>
      <c r="E956" s="434"/>
      <c r="F956" s="434"/>
      <c r="G956" s="434"/>
      <c r="H956" s="434"/>
      <c r="I956" s="434"/>
      <c r="J956" s="434"/>
      <c r="K956" s="434"/>
      <c r="L956" s="434"/>
      <c r="M956" s="434"/>
      <c r="N956" s="434"/>
      <c r="O956" s="434"/>
      <c r="P956" s="434"/>
      <c r="Q956" s="434"/>
      <c r="R956" s="434"/>
      <c r="S956" s="434"/>
      <c r="T956" s="434"/>
      <c r="U956" s="434"/>
    </row>
    <row r="957">
      <c r="A957" s="434"/>
      <c r="B957" s="434"/>
      <c r="C957" s="434"/>
      <c r="D957" s="434"/>
      <c r="E957" s="434"/>
      <c r="F957" s="434"/>
      <c r="G957" s="434"/>
      <c r="H957" s="434"/>
      <c r="I957" s="434"/>
      <c r="J957" s="434"/>
      <c r="K957" s="434"/>
      <c r="L957" s="434"/>
      <c r="M957" s="434"/>
      <c r="N957" s="434"/>
      <c r="O957" s="434"/>
      <c r="P957" s="434"/>
      <c r="Q957" s="434"/>
      <c r="R957" s="434"/>
      <c r="S957" s="434"/>
      <c r="T957" s="434"/>
      <c r="U957" s="434"/>
    </row>
    <row r="958">
      <c r="A958" s="434"/>
      <c r="B958" s="434"/>
      <c r="C958" s="434"/>
      <c r="D958" s="434"/>
      <c r="E958" s="434"/>
      <c r="F958" s="434"/>
      <c r="G958" s="434"/>
      <c r="H958" s="434"/>
      <c r="I958" s="434"/>
      <c r="J958" s="434"/>
      <c r="K958" s="434"/>
      <c r="L958" s="434"/>
      <c r="M958" s="434"/>
      <c r="N958" s="434"/>
      <c r="O958" s="434"/>
      <c r="P958" s="434"/>
      <c r="Q958" s="434"/>
      <c r="R958" s="434"/>
      <c r="S958" s="434"/>
      <c r="T958" s="434"/>
      <c r="U958" s="434"/>
    </row>
    <row r="959">
      <c r="A959" s="434"/>
      <c r="B959" s="434"/>
      <c r="C959" s="434"/>
      <c r="D959" s="434"/>
      <c r="E959" s="434"/>
      <c r="F959" s="434"/>
      <c r="G959" s="434"/>
      <c r="H959" s="434"/>
      <c r="I959" s="434"/>
      <c r="J959" s="434"/>
      <c r="K959" s="434"/>
      <c r="L959" s="434"/>
      <c r="M959" s="434"/>
      <c r="N959" s="434"/>
      <c r="O959" s="434"/>
      <c r="P959" s="434"/>
      <c r="Q959" s="434"/>
      <c r="R959" s="434"/>
      <c r="S959" s="434"/>
      <c r="T959" s="434"/>
      <c r="U959" s="434"/>
    </row>
    <row r="960">
      <c r="A960" s="434"/>
      <c r="B960" s="434"/>
      <c r="C960" s="434"/>
      <c r="D960" s="434"/>
      <c r="E960" s="434"/>
      <c r="F960" s="434"/>
      <c r="G960" s="434"/>
      <c r="H960" s="434"/>
      <c r="I960" s="434"/>
      <c r="J960" s="434"/>
      <c r="K960" s="434"/>
      <c r="L960" s="434"/>
      <c r="M960" s="434"/>
      <c r="N960" s="434"/>
      <c r="O960" s="434"/>
      <c r="P960" s="434"/>
      <c r="Q960" s="434"/>
      <c r="R960" s="434"/>
      <c r="S960" s="434"/>
      <c r="T960" s="434"/>
      <c r="U960" s="434"/>
    </row>
    <row r="961">
      <c r="A961" s="434"/>
      <c r="B961" s="434"/>
      <c r="C961" s="434"/>
      <c r="D961" s="434"/>
      <c r="E961" s="434"/>
      <c r="F961" s="434"/>
      <c r="G961" s="434"/>
      <c r="H961" s="434"/>
      <c r="I961" s="434"/>
      <c r="J961" s="434"/>
      <c r="K961" s="434"/>
      <c r="L961" s="434"/>
      <c r="M961" s="434"/>
      <c r="N961" s="434"/>
      <c r="O961" s="434"/>
      <c r="P961" s="434"/>
      <c r="Q961" s="434"/>
      <c r="R961" s="434"/>
      <c r="S961" s="434"/>
      <c r="T961" s="434"/>
      <c r="U961" s="434"/>
    </row>
    <row r="962">
      <c r="A962" s="434"/>
      <c r="B962" s="434"/>
      <c r="C962" s="434"/>
      <c r="D962" s="434"/>
      <c r="E962" s="434"/>
      <c r="F962" s="434"/>
      <c r="G962" s="434"/>
      <c r="H962" s="434"/>
      <c r="I962" s="434"/>
      <c r="J962" s="434"/>
      <c r="K962" s="434"/>
      <c r="L962" s="434"/>
      <c r="M962" s="434"/>
      <c r="N962" s="434"/>
      <c r="O962" s="434"/>
      <c r="P962" s="434"/>
      <c r="Q962" s="434"/>
      <c r="R962" s="434"/>
      <c r="S962" s="434"/>
      <c r="T962" s="434"/>
      <c r="U962" s="434"/>
    </row>
    <row r="963">
      <c r="A963" s="434"/>
      <c r="B963" s="434"/>
      <c r="C963" s="434"/>
      <c r="D963" s="434"/>
      <c r="E963" s="434"/>
      <c r="F963" s="434"/>
      <c r="G963" s="434"/>
      <c r="H963" s="434"/>
      <c r="I963" s="434"/>
      <c r="J963" s="434"/>
      <c r="K963" s="434"/>
      <c r="L963" s="434"/>
      <c r="M963" s="434"/>
      <c r="N963" s="434"/>
      <c r="O963" s="434"/>
      <c r="P963" s="434"/>
      <c r="Q963" s="434"/>
      <c r="R963" s="434"/>
      <c r="S963" s="434"/>
      <c r="T963" s="434"/>
      <c r="U963" s="434"/>
    </row>
    <row r="964">
      <c r="A964" s="434"/>
      <c r="B964" s="434"/>
      <c r="C964" s="434"/>
      <c r="D964" s="434"/>
      <c r="E964" s="434"/>
      <c r="F964" s="434"/>
      <c r="G964" s="434"/>
      <c r="H964" s="434"/>
      <c r="I964" s="434"/>
      <c r="J964" s="434"/>
      <c r="K964" s="434"/>
      <c r="L964" s="434"/>
      <c r="M964" s="434"/>
      <c r="N964" s="434"/>
      <c r="O964" s="434"/>
      <c r="P964" s="434"/>
      <c r="Q964" s="434"/>
      <c r="R964" s="434"/>
      <c r="S964" s="434"/>
      <c r="T964" s="434"/>
      <c r="U964" s="434"/>
    </row>
    <row r="965">
      <c r="A965" s="434"/>
      <c r="B965" s="434"/>
      <c r="C965" s="434"/>
      <c r="D965" s="434"/>
      <c r="E965" s="434"/>
      <c r="F965" s="434"/>
      <c r="G965" s="434"/>
      <c r="H965" s="434"/>
      <c r="I965" s="434"/>
      <c r="J965" s="434"/>
      <c r="K965" s="434"/>
      <c r="L965" s="434"/>
      <c r="M965" s="434"/>
      <c r="N965" s="434"/>
      <c r="O965" s="434"/>
      <c r="P965" s="434"/>
      <c r="Q965" s="434"/>
      <c r="R965" s="434"/>
      <c r="S965" s="434"/>
      <c r="T965" s="434"/>
      <c r="U965" s="434"/>
    </row>
    <row r="966">
      <c r="A966" s="434"/>
      <c r="B966" s="434"/>
      <c r="C966" s="434"/>
      <c r="D966" s="434"/>
      <c r="E966" s="434"/>
      <c r="F966" s="434"/>
      <c r="G966" s="434"/>
      <c r="H966" s="434"/>
      <c r="I966" s="434"/>
      <c r="J966" s="434"/>
      <c r="K966" s="434"/>
      <c r="L966" s="434"/>
      <c r="M966" s="434"/>
      <c r="N966" s="434"/>
      <c r="O966" s="434"/>
      <c r="P966" s="434"/>
      <c r="Q966" s="434"/>
      <c r="R966" s="434"/>
      <c r="S966" s="434"/>
      <c r="T966" s="434"/>
      <c r="U966" s="434"/>
    </row>
    <row r="967">
      <c r="A967" s="434"/>
      <c r="B967" s="434"/>
      <c r="C967" s="434"/>
      <c r="D967" s="434"/>
      <c r="E967" s="434"/>
      <c r="F967" s="434"/>
      <c r="G967" s="434"/>
      <c r="H967" s="434"/>
      <c r="I967" s="434"/>
      <c r="J967" s="434"/>
      <c r="K967" s="434"/>
      <c r="L967" s="434"/>
      <c r="M967" s="434"/>
      <c r="N967" s="434"/>
      <c r="O967" s="434"/>
      <c r="P967" s="434"/>
      <c r="Q967" s="434"/>
      <c r="R967" s="434"/>
      <c r="S967" s="434"/>
      <c r="T967" s="434"/>
      <c r="U967" s="434"/>
    </row>
    <row r="968">
      <c r="A968" s="434"/>
      <c r="B968" s="434"/>
      <c r="C968" s="434"/>
      <c r="D968" s="434"/>
      <c r="E968" s="434"/>
      <c r="F968" s="434"/>
      <c r="G968" s="434"/>
      <c r="H968" s="434"/>
      <c r="I968" s="434"/>
      <c r="J968" s="434"/>
      <c r="K968" s="434"/>
      <c r="L968" s="434"/>
      <c r="M968" s="434"/>
      <c r="N968" s="434"/>
      <c r="O968" s="434"/>
      <c r="P968" s="434"/>
      <c r="Q968" s="434"/>
      <c r="R968" s="434"/>
      <c r="S968" s="434"/>
      <c r="T968" s="434"/>
      <c r="U968" s="434"/>
    </row>
    <row r="969">
      <c r="A969" s="434"/>
      <c r="B969" s="434"/>
      <c r="C969" s="434"/>
      <c r="D969" s="434"/>
      <c r="E969" s="434"/>
      <c r="F969" s="434"/>
      <c r="G969" s="434"/>
      <c r="H969" s="434"/>
      <c r="I969" s="434"/>
      <c r="J969" s="434"/>
      <c r="K969" s="434"/>
      <c r="L969" s="434"/>
      <c r="M969" s="434"/>
      <c r="N969" s="434"/>
      <c r="O969" s="434"/>
      <c r="P969" s="434"/>
      <c r="Q969" s="434"/>
      <c r="R969" s="434"/>
      <c r="S969" s="434"/>
      <c r="T969" s="434"/>
      <c r="U969" s="434"/>
    </row>
    <row r="970">
      <c r="A970" s="434"/>
      <c r="B970" s="434"/>
      <c r="C970" s="434"/>
      <c r="D970" s="434"/>
      <c r="E970" s="434"/>
      <c r="F970" s="434"/>
      <c r="G970" s="434"/>
      <c r="H970" s="434"/>
      <c r="I970" s="434"/>
      <c r="J970" s="434"/>
      <c r="K970" s="434"/>
      <c r="L970" s="434"/>
      <c r="M970" s="434"/>
      <c r="N970" s="434"/>
      <c r="O970" s="434"/>
      <c r="P970" s="434"/>
      <c r="Q970" s="434"/>
      <c r="R970" s="434"/>
      <c r="S970" s="434"/>
      <c r="T970" s="434"/>
      <c r="U970" s="434"/>
    </row>
    <row r="971">
      <c r="A971" s="434"/>
      <c r="B971" s="434"/>
      <c r="C971" s="434"/>
      <c r="D971" s="434"/>
      <c r="E971" s="434"/>
      <c r="F971" s="434"/>
      <c r="G971" s="434"/>
      <c r="H971" s="434"/>
      <c r="I971" s="434"/>
      <c r="J971" s="434"/>
      <c r="K971" s="434"/>
      <c r="L971" s="434"/>
      <c r="M971" s="434"/>
      <c r="N971" s="434"/>
      <c r="O971" s="434"/>
      <c r="P971" s="434"/>
      <c r="Q971" s="434"/>
      <c r="R971" s="434"/>
      <c r="S971" s="434"/>
      <c r="T971" s="434"/>
      <c r="U971" s="434"/>
    </row>
    <row r="972">
      <c r="A972" s="434"/>
      <c r="B972" s="434"/>
      <c r="C972" s="434"/>
      <c r="D972" s="434"/>
      <c r="E972" s="434"/>
      <c r="F972" s="434"/>
      <c r="G972" s="434"/>
      <c r="H972" s="434"/>
      <c r="I972" s="434"/>
      <c r="J972" s="434"/>
      <c r="K972" s="434"/>
      <c r="L972" s="434"/>
      <c r="M972" s="434"/>
      <c r="N972" s="434"/>
      <c r="O972" s="434"/>
      <c r="P972" s="434"/>
      <c r="Q972" s="434"/>
      <c r="R972" s="434"/>
      <c r="S972" s="434"/>
      <c r="T972" s="434"/>
      <c r="U972" s="434"/>
    </row>
    <row r="973">
      <c r="A973" s="434"/>
      <c r="B973" s="434"/>
      <c r="C973" s="434"/>
      <c r="D973" s="434"/>
      <c r="E973" s="434"/>
      <c r="F973" s="434"/>
      <c r="G973" s="434"/>
      <c r="H973" s="434"/>
      <c r="I973" s="434"/>
      <c r="J973" s="434"/>
      <c r="K973" s="434"/>
      <c r="L973" s="434"/>
      <c r="M973" s="434"/>
      <c r="N973" s="434"/>
      <c r="O973" s="434"/>
      <c r="P973" s="434"/>
      <c r="Q973" s="434"/>
      <c r="R973" s="434"/>
      <c r="S973" s="434"/>
      <c r="T973" s="434"/>
      <c r="U973" s="434"/>
    </row>
    <row r="974">
      <c r="A974" s="434"/>
      <c r="B974" s="434"/>
      <c r="C974" s="434"/>
      <c r="D974" s="434"/>
      <c r="E974" s="434"/>
      <c r="F974" s="434"/>
      <c r="G974" s="434"/>
      <c r="H974" s="434"/>
      <c r="I974" s="434"/>
      <c r="J974" s="434"/>
      <c r="K974" s="434"/>
      <c r="L974" s="434"/>
      <c r="M974" s="434"/>
      <c r="N974" s="434"/>
      <c r="O974" s="434"/>
      <c r="P974" s="434"/>
      <c r="Q974" s="434"/>
      <c r="R974" s="434"/>
      <c r="S974" s="434"/>
      <c r="T974" s="434"/>
      <c r="U974" s="434"/>
    </row>
    <row r="975">
      <c r="A975" s="434"/>
      <c r="B975" s="434"/>
      <c r="C975" s="434"/>
      <c r="D975" s="434"/>
      <c r="E975" s="434"/>
      <c r="F975" s="434"/>
      <c r="G975" s="434"/>
      <c r="H975" s="434"/>
      <c r="I975" s="434"/>
      <c r="J975" s="434"/>
      <c r="K975" s="434"/>
      <c r="L975" s="434"/>
      <c r="M975" s="434"/>
      <c r="N975" s="434"/>
      <c r="O975" s="434"/>
      <c r="P975" s="434"/>
      <c r="Q975" s="434"/>
      <c r="R975" s="434"/>
      <c r="S975" s="434"/>
      <c r="T975" s="434"/>
      <c r="U975" s="434"/>
    </row>
    <row r="976">
      <c r="A976" s="434"/>
      <c r="B976" s="434"/>
      <c r="C976" s="434"/>
      <c r="D976" s="434"/>
      <c r="E976" s="434"/>
      <c r="F976" s="434"/>
      <c r="G976" s="434"/>
      <c r="H976" s="434"/>
      <c r="I976" s="434"/>
      <c r="J976" s="434"/>
      <c r="K976" s="434"/>
      <c r="L976" s="434"/>
      <c r="M976" s="434"/>
      <c r="N976" s="434"/>
      <c r="O976" s="434"/>
      <c r="P976" s="434"/>
      <c r="Q976" s="434"/>
      <c r="R976" s="434"/>
      <c r="S976" s="434"/>
      <c r="T976" s="434"/>
      <c r="U976" s="434"/>
    </row>
    <row r="977">
      <c r="A977" s="434"/>
      <c r="B977" s="434"/>
      <c r="C977" s="434"/>
      <c r="D977" s="434"/>
      <c r="E977" s="434"/>
      <c r="F977" s="434"/>
      <c r="G977" s="434"/>
      <c r="H977" s="434"/>
      <c r="I977" s="434"/>
      <c r="J977" s="434"/>
      <c r="K977" s="434"/>
      <c r="L977" s="434"/>
      <c r="M977" s="434"/>
      <c r="N977" s="434"/>
      <c r="O977" s="434"/>
      <c r="P977" s="434"/>
      <c r="Q977" s="434"/>
      <c r="R977" s="434"/>
      <c r="S977" s="434"/>
      <c r="T977" s="434"/>
      <c r="U977" s="434"/>
    </row>
    <row r="978">
      <c r="A978" s="434"/>
      <c r="B978" s="434"/>
      <c r="C978" s="434"/>
      <c r="D978" s="434"/>
      <c r="E978" s="434"/>
      <c r="F978" s="434"/>
      <c r="G978" s="434"/>
      <c r="H978" s="434"/>
      <c r="I978" s="434"/>
      <c r="J978" s="434"/>
      <c r="K978" s="434"/>
      <c r="L978" s="434"/>
      <c r="M978" s="434"/>
      <c r="N978" s="434"/>
      <c r="O978" s="434"/>
      <c r="P978" s="434"/>
      <c r="Q978" s="434"/>
      <c r="R978" s="434"/>
      <c r="S978" s="434"/>
      <c r="T978" s="434"/>
      <c r="U978" s="434"/>
    </row>
    <row r="979">
      <c r="A979" s="434"/>
      <c r="B979" s="434"/>
      <c r="C979" s="434"/>
      <c r="D979" s="434"/>
      <c r="E979" s="434"/>
      <c r="F979" s="434"/>
      <c r="G979" s="434"/>
      <c r="H979" s="434"/>
      <c r="I979" s="434"/>
      <c r="J979" s="434"/>
      <c r="K979" s="434"/>
      <c r="L979" s="434"/>
      <c r="M979" s="434"/>
      <c r="N979" s="434"/>
      <c r="O979" s="434"/>
      <c r="P979" s="434"/>
      <c r="Q979" s="434"/>
      <c r="R979" s="434"/>
      <c r="S979" s="434"/>
      <c r="T979" s="434"/>
      <c r="U979" s="434"/>
    </row>
    <row r="980">
      <c r="A980" s="434"/>
      <c r="B980" s="434"/>
      <c r="C980" s="434"/>
      <c r="D980" s="434"/>
      <c r="E980" s="434"/>
      <c r="F980" s="434"/>
      <c r="G980" s="434"/>
      <c r="H980" s="434"/>
      <c r="I980" s="434"/>
      <c r="J980" s="434"/>
      <c r="K980" s="434"/>
      <c r="L980" s="434"/>
      <c r="M980" s="434"/>
      <c r="N980" s="434"/>
      <c r="O980" s="434"/>
      <c r="P980" s="434"/>
      <c r="Q980" s="434"/>
      <c r="R980" s="434"/>
      <c r="S980" s="434"/>
      <c r="T980" s="434"/>
      <c r="U980" s="434"/>
    </row>
    <row r="981">
      <c r="A981" s="434"/>
      <c r="B981" s="434"/>
      <c r="C981" s="434"/>
      <c r="D981" s="434"/>
      <c r="E981" s="434"/>
      <c r="F981" s="434"/>
      <c r="G981" s="434"/>
      <c r="H981" s="434"/>
      <c r="I981" s="434"/>
      <c r="J981" s="434"/>
      <c r="K981" s="434"/>
      <c r="L981" s="434"/>
      <c r="M981" s="434"/>
      <c r="N981" s="434"/>
      <c r="O981" s="434"/>
      <c r="P981" s="434"/>
      <c r="Q981" s="434"/>
      <c r="R981" s="434"/>
      <c r="S981" s="434"/>
      <c r="T981" s="434"/>
      <c r="U981" s="434"/>
    </row>
    <row r="982">
      <c r="A982" s="434"/>
      <c r="B982" s="434"/>
      <c r="C982" s="434"/>
      <c r="D982" s="434"/>
      <c r="E982" s="434"/>
      <c r="F982" s="434"/>
      <c r="G982" s="434"/>
      <c r="H982" s="434"/>
      <c r="I982" s="434"/>
      <c r="J982" s="434"/>
      <c r="K982" s="434"/>
      <c r="L982" s="434"/>
      <c r="M982" s="434"/>
      <c r="N982" s="434"/>
      <c r="O982" s="434"/>
      <c r="P982" s="434"/>
      <c r="Q982" s="434"/>
      <c r="R982" s="434"/>
      <c r="S982" s="434"/>
      <c r="T982" s="434"/>
      <c r="U982" s="434"/>
    </row>
    <row r="983">
      <c r="A983" s="434"/>
      <c r="B983" s="434"/>
      <c r="C983" s="434"/>
      <c r="D983" s="434"/>
      <c r="E983" s="434"/>
      <c r="F983" s="434"/>
      <c r="G983" s="434"/>
      <c r="H983" s="434"/>
      <c r="I983" s="434"/>
      <c r="J983" s="434"/>
      <c r="K983" s="434"/>
      <c r="L983" s="434"/>
      <c r="M983" s="434"/>
      <c r="N983" s="434"/>
      <c r="O983" s="434"/>
      <c r="P983" s="434"/>
      <c r="Q983" s="434"/>
      <c r="R983" s="434"/>
      <c r="S983" s="434"/>
      <c r="T983" s="434"/>
      <c r="U983" s="434"/>
    </row>
    <row r="984">
      <c r="A984" s="434"/>
      <c r="B984" s="434"/>
      <c r="C984" s="434"/>
      <c r="D984" s="434"/>
      <c r="E984" s="434"/>
      <c r="F984" s="434"/>
      <c r="G984" s="434"/>
      <c r="H984" s="434"/>
      <c r="I984" s="434"/>
      <c r="J984" s="434"/>
      <c r="K984" s="434"/>
      <c r="L984" s="434"/>
      <c r="M984" s="434"/>
      <c r="N984" s="434"/>
      <c r="O984" s="434"/>
      <c r="P984" s="434"/>
      <c r="Q984" s="434"/>
      <c r="R984" s="434"/>
      <c r="S984" s="434"/>
      <c r="T984" s="434"/>
      <c r="U984" s="434"/>
    </row>
    <row r="985">
      <c r="A985" s="434"/>
      <c r="B985" s="434"/>
      <c r="C985" s="434"/>
      <c r="D985" s="434"/>
      <c r="E985" s="434"/>
      <c r="F985" s="434"/>
      <c r="G985" s="434"/>
      <c r="H985" s="434"/>
      <c r="I985" s="434"/>
      <c r="J985" s="434"/>
      <c r="K985" s="434"/>
      <c r="L985" s="434"/>
      <c r="M985" s="434"/>
      <c r="N985" s="434"/>
      <c r="O985" s="434"/>
      <c r="P985" s="434"/>
      <c r="Q985" s="434"/>
      <c r="R985" s="434"/>
      <c r="S985" s="434"/>
      <c r="T985" s="434"/>
      <c r="U985" s="434"/>
    </row>
    <row r="986">
      <c r="A986" s="434"/>
      <c r="B986" s="434"/>
      <c r="C986" s="434"/>
      <c r="D986" s="434"/>
      <c r="E986" s="434"/>
      <c r="F986" s="434"/>
      <c r="G986" s="434"/>
      <c r="H986" s="434"/>
      <c r="I986" s="434"/>
      <c r="J986" s="434"/>
      <c r="K986" s="434"/>
      <c r="L986" s="434"/>
      <c r="M986" s="434"/>
      <c r="N986" s="434"/>
      <c r="O986" s="434"/>
      <c r="P986" s="434"/>
      <c r="Q986" s="434"/>
      <c r="R986" s="434"/>
      <c r="S986" s="434"/>
      <c r="T986" s="434"/>
      <c r="U986" s="434"/>
    </row>
    <row r="987">
      <c r="A987" s="434"/>
      <c r="B987" s="434"/>
      <c r="C987" s="434"/>
      <c r="D987" s="434"/>
      <c r="E987" s="434"/>
      <c r="F987" s="434"/>
      <c r="G987" s="434"/>
      <c r="H987" s="434"/>
      <c r="I987" s="434"/>
      <c r="J987" s="434"/>
      <c r="K987" s="434"/>
      <c r="L987" s="434"/>
      <c r="M987" s="434"/>
      <c r="N987" s="434"/>
      <c r="O987" s="434"/>
      <c r="P987" s="434"/>
      <c r="Q987" s="434"/>
      <c r="R987" s="434"/>
      <c r="S987" s="434"/>
      <c r="T987" s="434"/>
      <c r="U987" s="434"/>
    </row>
    <row r="988">
      <c r="A988" s="434"/>
      <c r="B988" s="434"/>
      <c r="C988" s="434"/>
      <c r="D988" s="434"/>
      <c r="E988" s="434"/>
      <c r="F988" s="434"/>
      <c r="G988" s="434"/>
      <c r="H988" s="434"/>
      <c r="I988" s="434"/>
      <c r="J988" s="434"/>
      <c r="K988" s="434"/>
      <c r="L988" s="434"/>
      <c r="M988" s="434"/>
      <c r="N988" s="434"/>
      <c r="O988" s="434"/>
      <c r="P988" s="434"/>
      <c r="Q988" s="434"/>
      <c r="R988" s="434"/>
      <c r="S988" s="434"/>
      <c r="T988" s="434"/>
      <c r="U988" s="434"/>
    </row>
    <row r="989">
      <c r="A989" s="434"/>
      <c r="B989" s="434"/>
      <c r="C989" s="434"/>
      <c r="D989" s="434"/>
      <c r="E989" s="434"/>
      <c r="F989" s="434"/>
      <c r="G989" s="434"/>
      <c r="H989" s="434"/>
      <c r="I989" s="434"/>
      <c r="J989" s="434"/>
      <c r="K989" s="434"/>
      <c r="L989" s="434"/>
      <c r="M989" s="434"/>
      <c r="N989" s="434"/>
      <c r="O989" s="434"/>
      <c r="P989" s="434"/>
      <c r="Q989" s="434"/>
      <c r="R989" s="434"/>
      <c r="S989" s="434"/>
      <c r="T989" s="434"/>
      <c r="U989" s="434"/>
    </row>
    <row r="990">
      <c r="A990" s="434"/>
      <c r="B990" s="434"/>
      <c r="C990" s="434"/>
      <c r="D990" s="434"/>
      <c r="E990" s="434"/>
      <c r="F990" s="434"/>
      <c r="G990" s="434"/>
      <c r="H990" s="434"/>
      <c r="I990" s="434"/>
      <c r="J990" s="434"/>
      <c r="K990" s="434"/>
      <c r="L990" s="434"/>
      <c r="M990" s="434"/>
      <c r="N990" s="434"/>
      <c r="O990" s="434"/>
      <c r="P990" s="434"/>
      <c r="Q990" s="434"/>
      <c r="R990" s="434"/>
      <c r="S990" s="434"/>
      <c r="T990" s="434"/>
      <c r="U990" s="434"/>
    </row>
    <row r="991">
      <c r="A991" s="434"/>
      <c r="B991" s="434"/>
      <c r="C991" s="434"/>
      <c r="D991" s="434"/>
      <c r="E991" s="434"/>
      <c r="F991" s="434"/>
      <c r="G991" s="434"/>
      <c r="H991" s="434"/>
      <c r="I991" s="434"/>
      <c r="J991" s="434"/>
      <c r="K991" s="434"/>
      <c r="L991" s="434"/>
      <c r="M991" s="434"/>
      <c r="N991" s="434"/>
      <c r="O991" s="434"/>
      <c r="P991" s="434"/>
      <c r="Q991" s="434"/>
      <c r="R991" s="434"/>
      <c r="S991" s="434"/>
      <c r="T991" s="434"/>
      <c r="U991" s="434"/>
    </row>
    <row r="992">
      <c r="A992" s="434"/>
      <c r="B992" s="434"/>
      <c r="C992" s="434"/>
      <c r="D992" s="434"/>
      <c r="E992" s="434"/>
      <c r="F992" s="434"/>
      <c r="G992" s="434"/>
      <c r="H992" s="434"/>
      <c r="I992" s="434"/>
      <c r="J992" s="434"/>
      <c r="K992" s="434"/>
      <c r="L992" s="434"/>
      <c r="M992" s="434"/>
      <c r="N992" s="434"/>
      <c r="O992" s="434"/>
      <c r="P992" s="434"/>
      <c r="Q992" s="434"/>
      <c r="R992" s="434"/>
      <c r="S992" s="434"/>
      <c r="T992" s="434"/>
      <c r="U992" s="434"/>
    </row>
    <row r="993">
      <c r="A993" s="434"/>
      <c r="B993" s="434"/>
      <c r="C993" s="434"/>
      <c r="D993" s="434"/>
      <c r="E993" s="434"/>
      <c r="F993" s="434"/>
      <c r="G993" s="434"/>
      <c r="H993" s="434"/>
      <c r="I993" s="434"/>
      <c r="J993" s="434"/>
      <c r="K993" s="434"/>
      <c r="L993" s="434"/>
      <c r="M993" s="434"/>
      <c r="N993" s="434"/>
      <c r="O993" s="434"/>
      <c r="P993" s="434"/>
      <c r="Q993" s="434"/>
      <c r="R993" s="434"/>
      <c r="S993" s="434"/>
      <c r="T993" s="434"/>
      <c r="U993" s="434"/>
    </row>
    <row r="994">
      <c r="A994" s="434"/>
      <c r="B994" s="434"/>
      <c r="C994" s="434"/>
      <c r="D994" s="434"/>
      <c r="E994" s="434"/>
      <c r="F994" s="434"/>
      <c r="G994" s="434"/>
      <c r="H994" s="434"/>
      <c r="I994" s="434"/>
      <c r="J994" s="434"/>
      <c r="K994" s="434"/>
      <c r="L994" s="434"/>
      <c r="M994" s="434"/>
      <c r="N994" s="434"/>
      <c r="O994" s="434"/>
      <c r="P994" s="434"/>
      <c r="Q994" s="434"/>
      <c r="R994" s="434"/>
      <c r="S994" s="434"/>
      <c r="T994" s="434"/>
      <c r="U994" s="434"/>
    </row>
    <row r="995">
      <c r="A995" s="434"/>
      <c r="B995" s="434"/>
      <c r="C995" s="434"/>
      <c r="D995" s="434"/>
      <c r="E995" s="434"/>
      <c r="F995" s="434"/>
      <c r="G995" s="434"/>
      <c r="H995" s="434"/>
      <c r="I995" s="434"/>
      <c r="J995" s="434"/>
      <c r="K995" s="434"/>
      <c r="L995" s="434"/>
      <c r="M995" s="434"/>
      <c r="N995" s="434"/>
      <c r="O995" s="434"/>
      <c r="P995" s="434"/>
      <c r="Q995" s="434"/>
      <c r="R995" s="434"/>
      <c r="S995" s="434"/>
      <c r="T995" s="434"/>
      <c r="U995" s="434"/>
    </row>
    <row r="996">
      <c r="A996" s="434"/>
      <c r="B996" s="434"/>
      <c r="C996" s="434"/>
      <c r="D996" s="434"/>
      <c r="E996" s="434"/>
      <c r="F996" s="434"/>
      <c r="G996" s="434"/>
      <c r="H996" s="434"/>
      <c r="I996" s="434"/>
      <c r="J996" s="434"/>
      <c r="K996" s="434"/>
      <c r="L996" s="434"/>
      <c r="M996" s="434"/>
      <c r="N996" s="434"/>
      <c r="O996" s="434"/>
      <c r="P996" s="434"/>
      <c r="Q996" s="434"/>
      <c r="R996" s="434"/>
      <c r="S996" s="434"/>
      <c r="T996" s="434"/>
      <c r="U996" s="434"/>
    </row>
    <row r="997">
      <c r="A997" s="434"/>
      <c r="B997" s="434"/>
      <c r="C997" s="434"/>
      <c r="D997" s="434"/>
      <c r="E997" s="434"/>
      <c r="F997" s="434"/>
      <c r="G997" s="434"/>
      <c r="H997" s="434"/>
      <c r="I997" s="434"/>
      <c r="J997" s="434"/>
      <c r="K997" s="434"/>
      <c r="L997" s="434"/>
      <c r="M997" s="434"/>
      <c r="N997" s="434"/>
      <c r="O997" s="434"/>
      <c r="P997" s="434"/>
      <c r="Q997" s="434"/>
      <c r="R997" s="434"/>
      <c r="S997" s="434"/>
      <c r="T997" s="434"/>
      <c r="U997" s="434"/>
    </row>
    <row r="998">
      <c r="A998" s="434"/>
      <c r="B998" s="434"/>
      <c r="C998" s="434"/>
      <c r="D998" s="434"/>
      <c r="E998" s="434"/>
      <c r="F998" s="434"/>
      <c r="G998" s="434"/>
      <c r="H998" s="434"/>
      <c r="I998" s="434"/>
      <c r="J998" s="434"/>
      <c r="K998" s="434"/>
      <c r="L998" s="434"/>
      <c r="M998" s="434"/>
      <c r="N998" s="434"/>
      <c r="O998" s="434"/>
      <c r="P998" s="434"/>
      <c r="Q998" s="434"/>
      <c r="R998" s="434"/>
      <c r="S998" s="434"/>
      <c r="T998" s="434"/>
      <c r="U998" s="434"/>
    </row>
    <row r="999">
      <c r="A999" s="434"/>
      <c r="B999" s="434"/>
      <c r="C999" s="434"/>
      <c r="D999" s="434"/>
      <c r="E999" s="434"/>
      <c r="F999" s="434"/>
      <c r="G999" s="434"/>
      <c r="H999" s="434"/>
      <c r="I999" s="434"/>
      <c r="J999" s="434"/>
      <c r="K999" s="434"/>
      <c r="L999" s="434"/>
      <c r="M999" s="434"/>
      <c r="N999" s="434"/>
      <c r="O999" s="434"/>
      <c r="P999" s="434"/>
      <c r="Q999" s="434"/>
      <c r="R999" s="434"/>
      <c r="S999" s="434"/>
      <c r="T999" s="434"/>
      <c r="U999" s="434"/>
    </row>
    <row r="1000">
      <c r="A1000" s="434"/>
      <c r="B1000" s="434"/>
      <c r="C1000" s="434"/>
      <c r="D1000" s="434"/>
      <c r="E1000" s="434"/>
      <c r="F1000" s="434"/>
      <c r="G1000" s="434"/>
      <c r="H1000" s="434"/>
      <c r="I1000" s="434"/>
      <c r="J1000" s="434"/>
      <c r="K1000" s="434"/>
      <c r="L1000" s="434"/>
      <c r="M1000" s="434"/>
      <c r="N1000" s="434"/>
      <c r="O1000" s="434"/>
      <c r="P1000" s="434"/>
      <c r="Q1000" s="434"/>
      <c r="R1000" s="434"/>
      <c r="S1000" s="434"/>
      <c r="T1000" s="434"/>
      <c r="U1000" s="434"/>
    </row>
    <row r="1001">
      <c r="A1001" s="434"/>
      <c r="B1001" s="434"/>
      <c r="C1001" s="434"/>
      <c r="D1001" s="434"/>
      <c r="E1001" s="434"/>
      <c r="F1001" s="434"/>
      <c r="G1001" s="434"/>
      <c r="H1001" s="434"/>
      <c r="I1001" s="434"/>
      <c r="J1001" s="434"/>
      <c r="K1001" s="434"/>
      <c r="L1001" s="434"/>
      <c r="M1001" s="434"/>
      <c r="N1001" s="434"/>
      <c r="O1001" s="434"/>
      <c r="P1001" s="434"/>
      <c r="Q1001" s="434"/>
      <c r="R1001" s="434"/>
      <c r="S1001" s="434"/>
      <c r="T1001" s="434"/>
      <c r="U1001" s="434"/>
    </row>
    <row r="1002">
      <c r="A1002" s="434"/>
      <c r="B1002" s="434"/>
      <c r="C1002" s="434"/>
      <c r="D1002" s="434"/>
      <c r="E1002" s="434"/>
      <c r="F1002" s="434"/>
      <c r="G1002" s="434"/>
      <c r="H1002" s="434"/>
      <c r="I1002" s="434"/>
      <c r="J1002" s="434"/>
      <c r="K1002" s="434"/>
      <c r="L1002" s="434"/>
      <c r="M1002" s="434"/>
      <c r="N1002" s="434"/>
      <c r="O1002" s="434"/>
      <c r="P1002" s="434"/>
      <c r="Q1002" s="434"/>
      <c r="R1002" s="434"/>
      <c r="S1002" s="434"/>
      <c r="T1002" s="434"/>
      <c r="U1002" s="434"/>
    </row>
    <row r="1003">
      <c r="A1003" s="434"/>
      <c r="B1003" s="434"/>
      <c r="C1003" s="434"/>
      <c r="D1003" s="434"/>
      <c r="E1003" s="434"/>
      <c r="F1003" s="434"/>
      <c r="G1003" s="434"/>
      <c r="H1003" s="434"/>
      <c r="I1003" s="434"/>
      <c r="J1003" s="434"/>
      <c r="K1003" s="434"/>
      <c r="L1003" s="434"/>
      <c r="M1003" s="434"/>
      <c r="N1003" s="434"/>
      <c r="O1003" s="434"/>
      <c r="P1003" s="434"/>
      <c r="Q1003" s="434"/>
      <c r="R1003" s="434"/>
      <c r="S1003" s="434"/>
      <c r="T1003" s="434"/>
      <c r="U1003" s="434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63"/>
    <col customWidth="1" min="6" max="6" width="31.5"/>
    <col customWidth="1" min="7" max="7" width="16.38"/>
  </cols>
  <sheetData>
    <row r="1">
      <c r="A1" s="520"/>
      <c r="B1" s="373"/>
      <c r="C1" s="373" t="s">
        <v>995</v>
      </c>
      <c r="D1" s="373" t="s">
        <v>996</v>
      </c>
      <c r="E1" s="553" t="s">
        <v>997</v>
      </c>
      <c r="F1" s="520"/>
      <c r="G1" s="520"/>
    </row>
    <row r="2">
      <c r="A2" s="520"/>
      <c r="B2" s="373" t="s">
        <v>605</v>
      </c>
      <c r="E2" s="553">
        <v>79946.78</v>
      </c>
      <c r="F2" s="520"/>
      <c r="G2" s="520"/>
    </row>
    <row r="3">
      <c r="A3" s="372">
        <v>44657.0</v>
      </c>
      <c r="B3" s="373" t="s">
        <v>998</v>
      </c>
      <c r="C3" s="520"/>
      <c r="D3" s="373">
        <v>1.0</v>
      </c>
      <c r="E3" s="553">
        <v>79947.78</v>
      </c>
      <c r="F3" s="373" t="s">
        <v>999</v>
      </c>
      <c r="G3" s="373" t="s">
        <v>1000</v>
      </c>
    </row>
    <row r="4">
      <c r="A4" s="372">
        <v>44659.0</v>
      </c>
      <c r="B4" s="373" t="s">
        <v>1001</v>
      </c>
      <c r="C4" s="520"/>
      <c r="D4" s="553">
        <v>1000000.0</v>
      </c>
      <c r="E4" s="553">
        <v>1079947.78</v>
      </c>
      <c r="F4" s="373" t="s">
        <v>999</v>
      </c>
      <c r="G4" s="373" t="s">
        <v>1002</v>
      </c>
    </row>
    <row r="5">
      <c r="A5" s="372">
        <v>44666.0</v>
      </c>
      <c r="B5" s="523">
        <v>4.15105157E8</v>
      </c>
      <c r="C5" s="520"/>
      <c r="D5" s="373">
        <v>0.35</v>
      </c>
      <c r="E5" s="553">
        <v>1079948.13</v>
      </c>
      <c r="F5" s="373" t="s">
        <v>1003</v>
      </c>
      <c r="G5" s="373" t="s">
        <v>1004</v>
      </c>
    </row>
    <row r="6">
      <c r="A6" s="372">
        <v>44666.0</v>
      </c>
      <c r="B6" s="373" t="s">
        <v>1005</v>
      </c>
      <c r="C6" s="520"/>
      <c r="D6" s="373">
        <v>0.01</v>
      </c>
      <c r="E6" s="553">
        <v>1079948.14</v>
      </c>
      <c r="F6" s="373" t="s">
        <v>999</v>
      </c>
      <c r="G6" s="373" t="s">
        <v>1006</v>
      </c>
    </row>
    <row r="7">
      <c r="A7" s="372">
        <v>44666.0</v>
      </c>
      <c r="B7" s="373" t="s">
        <v>1005</v>
      </c>
      <c r="C7" s="373">
        <v>0.01</v>
      </c>
      <c r="D7" s="520"/>
      <c r="E7" s="553">
        <v>1079948.13</v>
      </c>
      <c r="F7" s="373" t="s">
        <v>1007</v>
      </c>
      <c r="G7" s="373" t="s">
        <v>1008</v>
      </c>
    </row>
    <row r="8">
      <c r="A8" s="372">
        <v>44671.0</v>
      </c>
      <c r="B8" s="373" t="s">
        <v>1009</v>
      </c>
      <c r="C8" s="520"/>
      <c r="D8" s="373">
        <v>778.2</v>
      </c>
      <c r="E8" s="553">
        <v>1080726.33</v>
      </c>
      <c r="F8" s="373" t="s">
        <v>999</v>
      </c>
      <c r="G8" s="373" t="s">
        <v>1010</v>
      </c>
    </row>
    <row r="9">
      <c r="A9" s="372">
        <v>44672.0</v>
      </c>
      <c r="B9" s="373" t="s">
        <v>1011</v>
      </c>
      <c r="C9" s="520"/>
      <c r="D9" s="553">
        <v>364120.17</v>
      </c>
      <c r="E9" s="553">
        <v>1444846.5</v>
      </c>
      <c r="F9" s="373" t="s">
        <v>999</v>
      </c>
      <c r="G9" s="373" t="s">
        <v>1012</v>
      </c>
    </row>
    <row r="10">
      <c r="A10" s="372">
        <v>44672.0</v>
      </c>
      <c r="B10" s="373" t="s">
        <v>1009</v>
      </c>
      <c r="C10" s="520"/>
      <c r="D10" s="373">
        <v>253.69</v>
      </c>
      <c r="E10" s="553">
        <v>1445100.19</v>
      </c>
      <c r="F10" s="373" t="s">
        <v>999</v>
      </c>
      <c r="G10" s="373" t="s">
        <v>1013</v>
      </c>
    </row>
    <row r="11">
      <c r="A11" s="372">
        <v>44673.0</v>
      </c>
      <c r="B11" s="373" t="s">
        <v>1009</v>
      </c>
      <c r="C11" s="520"/>
      <c r="D11" s="373">
        <v>222.4</v>
      </c>
      <c r="E11" s="553">
        <v>1445322.59</v>
      </c>
      <c r="F11" s="373" t="s">
        <v>999</v>
      </c>
      <c r="G11" s="373" t="s">
        <v>1014</v>
      </c>
    </row>
    <row r="12">
      <c r="A12" s="372">
        <v>44673.0</v>
      </c>
      <c r="B12" s="373" t="s">
        <v>1015</v>
      </c>
      <c r="C12" s="520"/>
      <c r="D12" s="373">
        <v>1.04</v>
      </c>
      <c r="E12" s="553">
        <v>1445323.63</v>
      </c>
      <c r="F12" s="373" t="s">
        <v>999</v>
      </c>
      <c r="G12" s="373" t="s">
        <v>1016</v>
      </c>
    </row>
    <row r="13">
      <c r="A13" s="372">
        <v>44673.0</v>
      </c>
      <c r="B13" s="373" t="s">
        <v>1015</v>
      </c>
      <c r="C13" s="373">
        <v>0.32</v>
      </c>
      <c r="D13" s="520"/>
      <c r="E13" s="553">
        <v>1445323.31</v>
      </c>
      <c r="F13" s="373" t="s">
        <v>1007</v>
      </c>
      <c r="G13" s="373" t="s">
        <v>1017</v>
      </c>
    </row>
    <row r="14">
      <c r="A14" s="372">
        <v>44673.0</v>
      </c>
      <c r="B14" s="373" t="s">
        <v>1015</v>
      </c>
      <c r="C14" s="373">
        <v>0.72</v>
      </c>
      <c r="D14" s="520"/>
      <c r="E14" s="553">
        <v>1445322.59</v>
      </c>
      <c r="F14" s="373" t="s">
        <v>1007</v>
      </c>
      <c r="G14" s="373" t="s">
        <v>1017</v>
      </c>
    </row>
    <row r="15">
      <c r="A15" s="372">
        <v>44676.0</v>
      </c>
      <c r="B15" s="373" t="s">
        <v>1009</v>
      </c>
      <c r="C15" s="520"/>
      <c r="D15" s="373">
        <v>332.09</v>
      </c>
      <c r="E15" s="553">
        <v>1445654.68</v>
      </c>
      <c r="F15" s="373" t="s">
        <v>999</v>
      </c>
      <c r="G15" s="373" t="s">
        <v>1018</v>
      </c>
    </row>
    <row r="16">
      <c r="A16" s="372">
        <v>44676.0</v>
      </c>
      <c r="B16" s="373" t="s">
        <v>1019</v>
      </c>
      <c r="C16" s="553">
        <v>1076.0</v>
      </c>
      <c r="D16" s="520"/>
      <c r="E16" s="553">
        <v>1444578.68</v>
      </c>
      <c r="F16" s="373" t="s">
        <v>1007</v>
      </c>
      <c r="G16" s="373" t="s">
        <v>1020</v>
      </c>
    </row>
    <row r="17">
      <c r="A17" s="372">
        <v>44677.0</v>
      </c>
      <c r="B17" s="373" t="s">
        <v>1009</v>
      </c>
      <c r="C17" s="520"/>
      <c r="D17" s="373">
        <v>885.92</v>
      </c>
      <c r="E17" s="553">
        <v>1445464.6</v>
      </c>
      <c r="F17" s="373" t="s">
        <v>999</v>
      </c>
      <c r="G17" s="373" t="s">
        <v>1021</v>
      </c>
    </row>
    <row r="18">
      <c r="A18" s="372">
        <v>44678.0</v>
      </c>
      <c r="B18" s="373" t="s">
        <v>1011</v>
      </c>
      <c r="C18" s="520"/>
      <c r="D18" s="553">
        <v>1625295.94</v>
      </c>
      <c r="E18" s="553">
        <v>3070760.54</v>
      </c>
      <c r="F18" s="373" t="s">
        <v>999</v>
      </c>
      <c r="G18" s="373" t="s">
        <v>1022</v>
      </c>
    </row>
    <row r="19">
      <c r="A19" s="372">
        <v>44678.0</v>
      </c>
      <c r="B19" s="373" t="s">
        <v>1009</v>
      </c>
      <c r="C19" s="520"/>
      <c r="D19" s="373">
        <v>212.03</v>
      </c>
      <c r="E19" s="553">
        <v>3070972.57</v>
      </c>
      <c r="F19" s="373" t="s">
        <v>999</v>
      </c>
      <c r="G19" s="373" t="s">
        <v>1023</v>
      </c>
    </row>
    <row r="20">
      <c r="A20" s="372">
        <v>44679.0</v>
      </c>
      <c r="B20" s="373" t="s">
        <v>1009</v>
      </c>
      <c r="C20" s="520"/>
      <c r="D20" s="373">
        <v>4.59</v>
      </c>
      <c r="E20" s="553">
        <v>3070977.16</v>
      </c>
      <c r="F20" s="373" t="s">
        <v>999</v>
      </c>
      <c r="G20" s="373" t="s">
        <v>1024</v>
      </c>
    </row>
    <row r="21">
      <c r="A21" s="372">
        <v>44679.0</v>
      </c>
      <c r="B21" s="373" t="s">
        <v>1025</v>
      </c>
      <c r="C21" s="553">
        <v>18425.93</v>
      </c>
      <c r="D21" s="520"/>
      <c r="E21" s="553">
        <v>3052551.23</v>
      </c>
      <c r="F21" s="373" t="s">
        <v>1007</v>
      </c>
      <c r="G21" s="373" t="s">
        <v>1026</v>
      </c>
    </row>
    <row r="22">
      <c r="A22" s="372">
        <v>44679.0</v>
      </c>
      <c r="B22" s="373" t="s">
        <v>1027</v>
      </c>
      <c r="C22" s="553">
        <v>51732.22</v>
      </c>
      <c r="D22" s="520"/>
      <c r="E22" s="553">
        <v>3000819.01</v>
      </c>
      <c r="F22" s="373" t="s">
        <v>1007</v>
      </c>
      <c r="G22" s="373" t="s">
        <v>1028</v>
      </c>
    </row>
    <row r="23">
      <c r="A23" s="372">
        <v>44680.0</v>
      </c>
      <c r="B23" s="373" t="s">
        <v>1009</v>
      </c>
      <c r="C23" s="520"/>
      <c r="D23" s="373">
        <v>4.59</v>
      </c>
      <c r="E23" s="553">
        <v>3000823.6</v>
      </c>
      <c r="F23" s="373" t="s">
        <v>999</v>
      </c>
      <c r="G23" s="373" t="s">
        <v>1029</v>
      </c>
    </row>
    <row r="26">
      <c r="B26" s="41" t="s">
        <v>1030</v>
      </c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4" max="4" width="19.0"/>
  </cols>
  <sheetData>
    <row r="1">
      <c r="A1" s="366" t="s">
        <v>552</v>
      </c>
      <c r="B1" s="57" t="s">
        <v>1031</v>
      </c>
      <c r="C1" s="554" t="s">
        <v>554</v>
      </c>
      <c r="D1" s="57" t="s">
        <v>1032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>
      <c r="A2" s="528"/>
      <c r="C2" s="371"/>
    </row>
    <row r="3">
      <c r="A3" s="48"/>
      <c r="C3" s="60"/>
    </row>
    <row r="4">
      <c r="A4" s="48"/>
      <c r="C4" s="60"/>
    </row>
    <row r="5">
      <c r="A5" s="48"/>
      <c r="C5" s="60"/>
    </row>
    <row r="6">
      <c r="A6" s="48"/>
      <c r="C6" s="60"/>
    </row>
    <row r="7">
      <c r="A7" s="48"/>
      <c r="C7" s="60"/>
    </row>
    <row r="8">
      <c r="A8" s="48"/>
      <c r="C8" s="60"/>
    </row>
    <row r="9">
      <c r="A9" s="48"/>
      <c r="C9" s="60"/>
    </row>
    <row r="10">
      <c r="A10" s="48"/>
      <c r="C10" s="60"/>
    </row>
    <row r="11">
      <c r="A11" s="48"/>
      <c r="C11" s="60"/>
    </row>
    <row r="12">
      <c r="A12" s="48"/>
      <c r="C12" s="60"/>
    </row>
    <row r="13">
      <c r="A13" s="48"/>
      <c r="C13" s="60"/>
    </row>
    <row r="14">
      <c r="A14" s="48"/>
      <c r="C14" s="60"/>
    </row>
    <row r="15">
      <c r="A15" s="48"/>
      <c r="C15" s="60"/>
    </row>
    <row r="16">
      <c r="A16" s="48"/>
      <c r="C16" s="60"/>
    </row>
    <row r="17">
      <c r="A17" s="48"/>
      <c r="C17" s="60"/>
    </row>
    <row r="18">
      <c r="A18" s="48"/>
      <c r="C18" s="60"/>
    </row>
    <row r="19">
      <c r="A19" s="48"/>
      <c r="C19" s="60"/>
    </row>
    <row r="20">
      <c r="A20" s="48"/>
      <c r="C20" s="60"/>
    </row>
    <row r="21">
      <c r="A21" s="48"/>
      <c r="C21" s="60"/>
    </row>
    <row r="22">
      <c r="A22" s="48"/>
      <c r="C22" s="60"/>
    </row>
    <row r="23">
      <c r="A23" s="48"/>
      <c r="C23" s="60"/>
    </row>
    <row r="24">
      <c r="A24" s="48"/>
      <c r="C24" s="60"/>
    </row>
    <row r="25">
      <c r="A25" s="48"/>
      <c r="C25" s="60"/>
    </row>
    <row r="26">
      <c r="A26" s="48"/>
      <c r="C26" s="60"/>
    </row>
    <row r="27">
      <c r="A27" s="48"/>
      <c r="C27" s="60"/>
    </row>
    <row r="28">
      <c r="A28" s="48"/>
      <c r="C28" s="60"/>
    </row>
    <row r="29">
      <c r="A29" s="48"/>
      <c r="C29" s="60"/>
    </row>
    <row r="30">
      <c r="A30" s="48"/>
      <c r="C30" s="60"/>
    </row>
    <row r="31">
      <c r="A31" s="48"/>
      <c r="C31" s="60"/>
    </row>
    <row r="32">
      <c r="A32" s="48"/>
      <c r="C32" s="60"/>
    </row>
    <row r="33">
      <c r="A33" s="48"/>
      <c r="C33" s="60"/>
    </row>
    <row r="34">
      <c r="A34" s="48"/>
      <c r="C34" s="60"/>
    </row>
    <row r="35">
      <c r="A35" s="48"/>
      <c r="C35" s="60"/>
    </row>
    <row r="36">
      <c r="A36" s="48"/>
      <c r="C36" s="60"/>
    </row>
    <row r="37">
      <c r="A37" s="48"/>
      <c r="C37" s="60"/>
    </row>
    <row r="38">
      <c r="A38" s="48"/>
      <c r="C38" s="60"/>
    </row>
    <row r="39">
      <c r="A39" s="48"/>
      <c r="C39" s="60"/>
    </row>
    <row r="40">
      <c r="A40" s="48"/>
      <c r="C40" s="60"/>
    </row>
    <row r="41">
      <c r="A41" s="48"/>
      <c r="C41" s="60"/>
    </row>
    <row r="42">
      <c r="A42" s="48"/>
      <c r="C42" s="60"/>
    </row>
    <row r="43">
      <c r="A43" s="48"/>
      <c r="C43" s="60"/>
    </row>
    <row r="44">
      <c r="A44" s="48"/>
      <c r="C44" s="60"/>
    </row>
    <row r="45">
      <c r="A45" s="48"/>
      <c r="C45" s="60"/>
    </row>
    <row r="46">
      <c r="A46" s="48"/>
      <c r="C46" s="60"/>
    </row>
    <row r="47">
      <c r="A47" s="48"/>
      <c r="C47" s="60"/>
    </row>
    <row r="48">
      <c r="A48" s="48"/>
      <c r="C48" s="60"/>
    </row>
    <row r="49">
      <c r="A49" s="48"/>
      <c r="C49" s="60"/>
    </row>
    <row r="50">
      <c r="A50" s="48"/>
      <c r="C50" s="60"/>
    </row>
    <row r="51">
      <c r="A51" s="48"/>
      <c r="C51" s="60"/>
    </row>
    <row r="52">
      <c r="A52" s="48"/>
      <c r="C52" s="60"/>
    </row>
    <row r="53">
      <c r="A53" s="48"/>
      <c r="C53" s="60"/>
    </row>
    <row r="54">
      <c r="A54" s="48"/>
      <c r="C54" s="60"/>
    </row>
    <row r="55">
      <c r="A55" s="48"/>
      <c r="C55" s="60"/>
    </row>
    <row r="56">
      <c r="A56" s="48"/>
      <c r="C56" s="60"/>
    </row>
    <row r="57">
      <c r="A57" s="48"/>
      <c r="C57" s="60"/>
    </row>
    <row r="58">
      <c r="A58" s="48"/>
      <c r="C58" s="60"/>
    </row>
    <row r="59">
      <c r="A59" s="48"/>
      <c r="C59" s="60"/>
    </row>
    <row r="60">
      <c r="A60" s="48"/>
      <c r="C60" s="60"/>
    </row>
    <row r="61">
      <c r="A61" s="48"/>
      <c r="C61" s="60"/>
    </row>
    <row r="62">
      <c r="A62" s="48"/>
      <c r="C62" s="60"/>
    </row>
    <row r="63">
      <c r="A63" s="48"/>
      <c r="C63" s="60"/>
    </row>
    <row r="64">
      <c r="A64" s="48"/>
      <c r="C64" s="60"/>
    </row>
    <row r="65">
      <c r="A65" s="48"/>
      <c r="C65" s="60"/>
    </row>
    <row r="66">
      <c r="A66" s="48"/>
      <c r="C66" s="60"/>
    </row>
    <row r="67">
      <c r="A67" s="48"/>
      <c r="C67" s="60"/>
    </row>
    <row r="68">
      <c r="A68" s="48"/>
      <c r="C68" s="60"/>
    </row>
    <row r="69">
      <c r="A69" s="48"/>
      <c r="C69" s="60"/>
    </row>
    <row r="70">
      <c r="A70" s="48"/>
      <c r="C70" s="60"/>
    </row>
    <row r="71">
      <c r="A71" s="48"/>
      <c r="C71" s="60"/>
    </row>
    <row r="72">
      <c r="A72" s="48"/>
      <c r="C72" s="60"/>
    </row>
    <row r="73">
      <c r="A73" s="48"/>
      <c r="C73" s="60"/>
    </row>
    <row r="74">
      <c r="A74" s="48"/>
      <c r="C74" s="60"/>
    </row>
    <row r="75">
      <c r="A75" s="48"/>
      <c r="C75" s="60"/>
    </row>
    <row r="76">
      <c r="A76" s="48"/>
      <c r="C76" s="60"/>
    </row>
    <row r="77">
      <c r="A77" s="48"/>
      <c r="C77" s="60"/>
    </row>
    <row r="78">
      <c r="A78" s="48"/>
      <c r="C78" s="60"/>
    </row>
    <row r="79">
      <c r="A79" s="48"/>
      <c r="C79" s="60"/>
    </row>
    <row r="80">
      <c r="A80" s="48"/>
      <c r="C80" s="60"/>
    </row>
    <row r="81">
      <c r="A81" s="48"/>
      <c r="C81" s="60"/>
    </row>
    <row r="82">
      <c r="A82" s="48"/>
      <c r="C82" s="60"/>
    </row>
    <row r="83">
      <c r="A83" s="48"/>
      <c r="C83" s="60"/>
    </row>
    <row r="84">
      <c r="A84" s="48"/>
      <c r="C84" s="60"/>
    </row>
    <row r="85">
      <c r="A85" s="48"/>
      <c r="C85" s="60"/>
    </row>
    <row r="86">
      <c r="A86" s="48"/>
      <c r="C86" s="60"/>
    </row>
    <row r="87">
      <c r="A87" s="48"/>
      <c r="C87" s="60"/>
    </row>
    <row r="88">
      <c r="A88" s="48"/>
      <c r="C88" s="60"/>
    </row>
    <row r="89">
      <c r="A89" s="48"/>
      <c r="C89" s="60"/>
    </row>
    <row r="90">
      <c r="A90" s="48"/>
      <c r="C90" s="60"/>
    </row>
    <row r="91">
      <c r="A91" s="48"/>
      <c r="C91" s="60"/>
    </row>
    <row r="92">
      <c r="A92" s="48"/>
      <c r="C92" s="60"/>
    </row>
    <row r="93">
      <c r="A93" s="48"/>
      <c r="C93" s="60"/>
    </row>
    <row r="94">
      <c r="A94" s="48"/>
      <c r="C94" s="60"/>
    </row>
    <row r="95">
      <c r="A95" s="48"/>
      <c r="C95" s="60"/>
    </row>
    <row r="96">
      <c r="A96" s="48"/>
      <c r="C96" s="60"/>
    </row>
    <row r="97">
      <c r="A97" s="48"/>
      <c r="C97" s="60"/>
    </row>
    <row r="98">
      <c r="A98" s="48"/>
      <c r="C98" s="60"/>
    </row>
    <row r="99">
      <c r="A99" s="48"/>
      <c r="C99" s="60"/>
    </row>
    <row r="100">
      <c r="A100" s="48"/>
      <c r="C100" s="60"/>
    </row>
    <row r="101">
      <c r="A101" s="48"/>
      <c r="C101" s="60"/>
    </row>
    <row r="102">
      <c r="A102" s="48"/>
      <c r="C102" s="60"/>
    </row>
    <row r="103">
      <c r="A103" s="48"/>
      <c r="C103" s="60"/>
    </row>
    <row r="104">
      <c r="A104" s="48"/>
      <c r="C104" s="60"/>
    </row>
    <row r="105">
      <c r="A105" s="48"/>
      <c r="C105" s="60"/>
    </row>
    <row r="106">
      <c r="A106" s="48"/>
      <c r="C106" s="60"/>
    </row>
    <row r="107">
      <c r="A107" s="48"/>
      <c r="C107" s="60"/>
    </row>
    <row r="108">
      <c r="A108" s="48"/>
      <c r="C108" s="60"/>
    </row>
    <row r="109">
      <c r="A109" s="48"/>
      <c r="C109" s="60"/>
    </row>
    <row r="110">
      <c r="A110" s="48"/>
      <c r="C110" s="60"/>
    </row>
    <row r="111">
      <c r="A111" s="48"/>
      <c r="C111" s="60"/>
    </row>
    <row r="112">
      <c r="A112" s="48"/>
      <c r="C112" s="60"/>
    </row>
    <row r="113">
      <c r="A113" s="48"/>
      <c r="C113" s="60"/>
    </row>
    <row r="114">
      <c r="A114" s="48"/>
      <c r="C114" s="60"/>
    </row>
    <row r="115">
      <c r="A115" s="48"/>
      <c r="C115" s="60"/>
    </row>
    <row r="116">
      <c r="A116" s="48"/>
      <c r="C116" s="60"/>
    </row>
    <row r="117">
      <c r="A117" s="48"/>
      <c r="C117" s="60"/>
    </row>
    <row r="118">
      <c r="A118" s="48"/>
      <c r="C118" s="60"/>
    </row>
    <row r="119">
      <c r="A119" s="48"/>
      <c r="C119" s="60"/>
    </row>
    <row r="120">
      <c r="A120" s="48"/>
      <c r="C120" s="60"/>
    </row>
    <row r="121">
      <c r="A121" s="48"/>
      <c r="C121" s="60"/>
    </row>
    <row r="122">
      <c r="A122" s="48"/>
      <c r="C122" s="60"/>
    </row>
    <row r="123">
      <c r="A123" s="48"/>
      <c r="C123" s="60"/>
    </row>
    <row r="124">
      <c r="A124" s="48"/>
      <c r="C124" s="60"/>
    </row>
    <row r="125">
      <c r="A125" s="48"/>
      <c r="C125" s="60"/>
    </row>
    <row r="126">
      <c r="A126" s="48"/>
      <c r="C126" s="60"/>
    </row>
    <row r="127">
      <c r="A127" s="48"/>
      <c r="C127" s="60"/>
    </row>
    <row r="128">
      <c r="A128" s="48"/>
      <c r="C128" s="60"/>
    </row>
    <row r="129">
      <c r="A129" s="48"/>
      <c r="C129" s="60"/>
    </row>
    <row r="130">
      <c r="A130" s="48"/>
      <c r="C130" s="60"/>
    </row>
    <row r="131">
      <c r="A131" s="48"/>
      <c r="C131" s="60"/>
    </row>
    <row r="132">
      <c r="A132" s="48"/>
      <c r="C132" s="60"/>
    </row>
    <row r="133">
      <c r="A133" s="48"/>
      <c r="C133" s="60"/>
    </row>
    <row r="134">
      <c r="A134" s="48"/>
      <c r="C134" s="60"/>
    </row>
    <row r="135">
      <c r="A135" s="48"/>
      <c r="C135" s="60"/>
    </row>
    <row r="136">
      <c r="A136" s="48"/>
      <c r="C136" s="60"/>
    </row>
    <row r="137">
      <c r="A137" s="48"/>
      <c r="C137" s="60"/>
    </row>
    <row r="138">
      <c r="A138" s="48"/>
      <c r="C138" s="60"/>
    </row>
    <row r="139">
      <c r="A139" s="48"/>
      <c r="C139" s="60"/>
    </row>
    <row r="140">
      <c r="A140" s="48"/>
      <c r="C140" s="60"/>
    </row>
    <row r="141">
      <c r="A141" s="48"/>
      <c r="C141" s="60"/>
    </row>
    <row r="142">
      <c r="A142" s="48"/>
      <c r="C142" s="60"/>
    </row>
    <row r="143">
      <c r="A143" s="48"/>
      <c r="C143" s="60"/>
    </row>
    <row r="144">
      <c r="A144" s="48"/>
      <c r="C144" s="60"/>
    </row>
    <row r="145">
      <c r="A145" s="48"/>
      <c r="C145" s="60"/>
    </row>
    <row r="146">
      <c r="A146" s="48"/>
      <c r="C146" s="60"/>
    </row>
    <row r="147">
      <c r="A147" s="48"/>
      <c r="C147" s="60"/>
    </row>
    <row r="148">
      <c r="A148" s="48"/>
      <c r="C148" s="60"/>
    </row>
    <row r="149">
      <c r="A149" s="48"/>
      <c r="C149" s="60"/>
    </row>
    <row r="150">
      <c r="A150" s="48"/>
      <c r="C150" s="60"/>
    </row>
    <row r="151">
      <c r="A151" s="48"/>
      <c r="C151" s="60"/>
    </row>
    <row r="152">
      <c r="A152" s="48"/>
      <c r="C152" s="60"/>
    </row>
    <row r="153">
      <c r="A153" s="48"/>
      <c r="C153" s="60"/>
    </row>
    <row r="154">
      <c r="A154" s="48"/>
      <c r="C154" s="60"/>
    </row>
    <row r="155">
      <c r="A155" s="48"/>
      <c r="C155" s="60"/>
    </row>
    <row r="156">
      <c r="A156" s="48"/>
      <c r="C156" s="60"/>
    </row>
    <row r="157">
      <c r="A157" s="48"/>
      <c r="C157" s="60"/>
    </row>
    <row r="158">
      <c r="A158" s="48"/>
      <c r="C158" s="60"/>
    </row>
    <row r="159">
      <c r="A159" s="48"/>
      <c r="C159" s="60"/>
    </row>
    <row r="160">
      <c r="A160" s="48"/>
      <c r="C160" s="60"/>
    </row>
    <row r="161">
      <c r="A161" s="48"/>
      <c r="C161" s="60"/>
    </row>
    <row r="162">
      <c r="A162" s="48"/>
      <c r="C162" s="60"/>
    </row>
    <row r="163">
      <c r="A163" s="48"/>
      <c r="C163" s="60"/>
    </row>
    <row r="164">
      <c r="A164" s="48"/>
      <c r="C164" s="60"/>
    </row>
    <row r="165">
      <c r="A165" s="48"/>
      <c r="C165" s="60"/>
    </row>
    <row r="166">
      <c r="A166" s="48"/>
      <c r="C166" s="60"/>
    </row>
    <row r="167">
      <c r="A167" s="48"/>
      <c r="C167" s="60"/>
    </row>
    <row r="168">
      <c r="A168" s="48"/>
      <c r="C168" s="60"/>
    </row>
    <row r="169">
      <c r="A169" s="48"/>
      <c r="C169" s="60"/>
    </row>
    <row r="170">
      <c r="A170" s="48"/>
      <c r="C170" s="60"/>
    </row>
    <row r="171">
      <c r="A171" s="48"/>
      <c r="C171" s="60"/>
    </row>
    <row r="172">
      <c r="A172" s="48"/>
      <c r="C172" s="60"/>
    </row>
    <row r="173">
      <c r="A173" s="48"/>
      <c r="C173" s="60"/>
    </row>
    <row r="174">
      <c r="A174" s="48"/>
      <c r="C174" s="60"/>
    </row>
    <row r="175">
      <c r="A175" s="48"/>
      <c r="C175" s="60"/>
    </row>
    <row r="176">
      <c r="A176" s="48"/>
      <c r="C176" s="60"/>
    </row>
    <row r="177">
      <c r="A177" s="48"/>
      <c r="C177" s="60"/>
    </row>
    <row r="178">
      <c r="A178" s="48"/>
      <c r="C178" s="60"/>
    </row>
    <row r="179">
      <c r="A179" s="48"/>
      <c r="C179" s="60"/>
    </row>
    <row r="180">
      <c r="A180" s="48"/>
      <c r="C180" s="60"/>
    </row>
    <row r="181">
      <c r="A181" s="48"/>
      <c r="C181" s="60"/>
    </row>
    <row r="182">
      <c r="A182" s="48"/>
      <c r="C182" s="60"/>
    </row>
    <row r="183">
      <c r="A183" s="48"/>
      <c r="C183" s="60"/>
    </row>
    <row r="184">
      <c r="A184" s="48"/>
      <c r="C184" s="60"/>
    </row>
    <row r="185">
      <c r="A185" s="48"/>
      <c r="C185" s="60"/>
    </row>
    <row r="186">
      <c r="A186" s="48"/>
      <c r="C186" s="60"/>
    </row>
    <row r="187">
      <c r="A187" s="48"/>
      <c r="C187" s="60"/>
    </row>
    <row r="188">
      <c r="A188" s="48"/>
      <c r="C188" s="60"/>
    </row>
    <row r="189">
      <c r="A189" s="48"/>
      <c r="C189" s="60"/>
    </row>
    <row r="190">
      <c r="A190" s="48"/>
      <c r="C190" s="60"/>
    </row>
    <row r="191">
      <c r="A191" s="48"/>
      <c r="C191" s="60"/>
    </row>
    <row r="192">
      <c r="A192" s="48"/>
      <c r="C192" s="60"/>
    </row>
    <row r="193">
      <c r="A193" s="48"/>
      <c r="C193" s="60"/>
    </row>
    <row r="194">
      <c r="A194" s="48"/>
      <c r="C194" s="60"/>
    </row>
    <row r="195">
      <c r="A195" s="48"/>
      <c r="C195" s="60"/>
    </row>
    <row r="196">
      <c r="A196" s="48"/>
      <c r="C196" s="60"/>
    </row>
    <row r="197">
      <c r="A197" s="48"/>
      <c r="C197" s="60"/>
    </row>
    <row r="198">
      <c r="A198" s="48"/>
      <c r="C198" s="60"/>
    </row>
    <row r="199">
      <c r="A199" s="48"/>
      <c r="C199" s="60"/>
    </row>
    <row r="200">
      <c r="A200" s="48"/>
      <c r="C200" s="60"/>
    </row>
    <row r="201">
      <c r="A201" s="48"/>
      <c r="C201" s="60"/>
    </row>
    <row r="202">
      <c r="A202" s="48"/>
      <c r="C202" s="60"/>
    </row>
    <row r="203">
      <c r="A203" s="48"/>
      <c r="C203" s="60"/>
    </row>
    <row r="204">
      <c r="A204" s="48"/>
      <c r="C204" s="60"/>
    </row>
    <row r="205">
      <c r="A205" s="48"/>
      <c r="C205" s="60"/>
    </row>
    <row r="206">
      <c r="A206" s="48"/>
      <c r="C206" s="60"/>
    </row>
    <row r="207">
      <c r="A207" s="48"/>
      <c r="C207" s="60"/>
    </row>
    <row r="208">
      <c r="A208" s="48"/>
      <c r="C208" s="60"/>
    </row>
    <row r="209">
      <c r="A209" s="48"/>
      <c r="C209" s="60"/>
    </row>
    <row r="210">
      <c r="A210" s="48"/>
      <c r="C210" s="60"/>
    </row>
    <row r="211">
      <c r="A211" s="48"/>
      <c r="C211" s="60"/>
    </row>
    <row r="212">
      <c r="A212" s="48"/>
      <c r="C212" s="60"/>
    </row>
    <row r="213">
      <c r="A213" s="48"/>
      <c r="C213" s="60"/>
    </row>
    <row r="214">
      <c r="A214" s="48"/>
      <c r="C214" s="60"/>
    </row>
    <row r="215">
      <c r="A215" s="48"/>
      <c r="C215" s="60"/>
    </row>
    <row r="216">
      <c r="A216" s="48"/>
      <c r="C216" s="60"/>
    </row>
    <row r="217">
      <c r="A217" s="48"/>
      <c r="C217" s="60"/>
    </row>
    <row r="218">
      <c r="A218" s="48"/>
      <c r="C218" s="60"/>
    </row>
    <row r="219">
      <c r="A219" s="48"/>
      <c r="C219" s="60"/>
    </row>
    <row r="220">
      <c r="A220" s="48"/>
      <c r="C220" s="60"/>
    </row>
    <row r="221">
      <c r="A221" s="48"/>
      <c r="C221" s="60"/>
    </row>
    <row r="222">
      <c r="A222" s="48"/>
      <c r="C222" s="60"/>
    </row>
    <row r="223">
      <c r="A223" s="48"/>
      <c r="C223" s="60"/>
    </row>
    <row r="224">
      <c r="A224" s="48"/>
      <c r="C224" s="60"/>
    </row>
    <row r="225">
      <c r="A225" s="48"/>
      <c r="C225" s="60"/>
    </row>
    <row r="226">
      <c r="A226" s="48"/>
      <c r="C226" s="60"/>
    </row>
    <row r="227">
      <c r="A227" s="48"/>
      <c r="C227" s="60"/>
    </row>
    <row r="228">
      <c r="A228" s="48"/>
      <c r="C228" s="60"/>
    </row>
    <row r="229">
      <c r="A229" s="48"/>
      <c r="C229" s="60"/>
    </row>
    <row r="230">
      <c r="A230" s="48"/>
      <c r="C230" s="60"/>
    </row>
    <row r="231">
      <c r="A231" s="48"/>
      <c r="C231" s="60"/>
    </row>
    <row r="232">
      <c r="A232" s="48"/>
      <c r="C232" s="60"/>
    </row>
    <row r="233">
      <c r="A233" s="48"/>
      <c r="C233" s="60"/>
    </row>
    <row r="234">
      <c r="A234" s="48"/>
      <c r="C234" s="60"/>
    </row>
    <row r="235">
      <c r="A235" s="48"/>
      <c r="C235" s="60"/>
    </row>
    <row r="236">
      <c r="A236" s="48"/>
      <c r="C236" s="60"/>
    </row>
    <row r="237">
      <c r="A237" s="48"/>
      <c r="C237" s="60"/>
    </row>
    <row r="238">
      <c r="A238" s="48"/>
      <c r="C238" s="60"/>
    </row>
    <row r="239">
      <c r="A239" s="48"/>
      <c r="C239" s="60"/>
    </row>
    <row r="240">
      <c r="A240" s="48"/>
      <c r="C240" s="60"/>
    </row>
    <row r="241">
      <c r="A241" s="48"/>
      <c r="C241" s="60"/>
    </row>
    <row r="242">
      <c r="A242" s="48"/>
      <c r="C242" s="60"/>
    </row>
    <row r="243">
      <c r="A243" s="48"/>
      <c r="C243" s="60"/>
    </row>
    <row r="244">
      <c r="A244" s="48"/>
      <c r="C244" s="60"/>
    </row>
    <row r="245">
      <c r="A245" s="48"/>
      <c r="C245" s="60"/>
    </row>
    <row r="246">
      <c r="A246" s="48"/>
      <c r="C246" s="60"/>
    </row>
    <row r="247">
      <c r="A247" s="48"/>
      <c r="C247" s="60"/>
    </row>
    <row r="248">
      <c r="A248" s="48"/>
      <c r="C248" s="60"/>
    </row>
    <row r="249">
      <c r="A249" s="48"/>
      <c r="C249" s="60"/>
    </row>
    <row r="250">
      <c r="A250" s="48"/>
      <c r="C250" s="60"/>
    </row>
    <row r="251">
      <c r="A251" s="48"/>
      <c r="C251" s="60"/>
    </row>
    <row r="252">
      <c r="A252" s="48"/>
      <c r="C252" s="60"/>
    </row>
    <row r="253">
      <c r="A253" s="48"/>
      <c r="C253" s="60"/>
    </row>
    <row r="254">
      <c r="A254" s="48"/>
      <c r="C254" s="60"/>
    </row>
    <row r="255">
      <c r="A255" s="48"/>
      <c r="C255" s="60"/>
    </row>
    <row r="256">
      <c r="A256" s="48"/>
      <c r="C256" s="60"/>
    </row>
    <row r="257">
      <c r="A257" s="48"/>
      <c r="C257" s="60"/>
    </row>
    <row r="258">
      <c r="A258" s="48"/>
      <c r="C258" s="60"/>
    </row>
    <row r="259">
      <c r="A259" s="48"/>
      <c r="C259" s="60"/>
    </row>
    <row r="260">
      <c r="A260" s="48"/>
      <c r="C260" s="60"/>
    </row>
    <row r="261">
      <c r="A261" s="48"/>
      <c r="C261" s="60"/>
    </row>
    <row r="262">
      <c r="A262" s="48"/>
      <c r="C262" s="60"/>
    </row>
    <row r="263">
      <c r="A263" s="48"/>
      <c r="C263" s="60"/>
    </row>
    <row r="264">
      <c r="A264" s="48"/>
      <c r="C264" s="60"/>
    </row>
    <row r="265">
      <c r="A265" s="48"/>
      <c r="C265" s="60"/>
    </row>
    <row r="266">
      <c r="A266" s="48"/>
      <c r="C266" s="60"/>
    </row>
    <row r="267">
      <c r="A267" s="48"/>
      <c r="C267" s="60"/>
    </row>
    <row r="268">
      <c r="A268" s="48"/>
      <c r="C268" s="60"/>
    </row>
    <row r="269">
      <c r="A269" s="48"/>
      <c r="C269" s="60"/>
    </row>
    <row r="270">
      <c r="A270" s="48"/>
      <c r="C270" s="60"/>
    </row>
    <row r="271">
      <c r="A271" s="48"/>
      <c r="C271" s="60"/>
    </row>
    <row r="272">
      <c r="A272" s="48"/>
      <c r="C272" s="60"/>
    </row>
    <row r="273">
      <c r="A273" s="48"/>
      <c r="C273" s="60"/>
    </row>
    <row r="274">
      <c r="A274" s="48"/>
      <c r="C274" s="60"/>
    </row>
    <row r="275">
      <c r="A275" s="48"/>
      <c r="C275" s="60"/>
    </row>
    <row r="276">
      <c r="A276" s="48"/>
      <c r="C276" s="60"/>
    </row>
    <row r="277">
      <c r="A277" s="48"/>
      <c r="C277" s="60"/>
    </row>
    <row r="278">
      <c r="A278" s="48"/>
      <c r="C278" s="60"/>
    </row>
    <row r="279">
      <c r="A279" s="48"/>
      <c r="C279" s="60"/>
    </row>
    <row r="280">
      <c r="A280" s="48"/>
      <c r="C280" s="60"/>
    </row>
    <row r="281">
      <c r="A281" s="48"/>
      <c r="C281" s="60"/>
    </row>
    <row r="282">
      <c r="A282" s="48"/>
      <c r="C282" s="60"/>
    </row>
    <row r="283">
      <c r="A283" s="48"/>
      <c r="C283" s="60"/>
    </row>
    <row r="284">
      <c r="A284" s="48"/>
      <c r="C284" s="60"/>
    </row>
    <row r="285">
      <c r="A285" s="48"/>
      <c r="C285" s="60"/>
    </row>
    <row r="286">
      <c r="A286" s="48"/>
      <c r="C286" s="60"/>
    </row>
    <row r="287">
      <c r="A287" s="48"/>
      <c r="C287" s="60"/>
    </row>
    <row r="288">
      <c r="A288" s="48"/>
      <c r="C288" s="60"/>
    </row>
    <row r="289">
      <c r="A289" s="48"/>
      <c r="C289" s="60"/>
    </row>
    <row r="290">
      <c r="A290" s="48"/>
      <c r="C290" s="60"/>
    </row>
    <row r="291">
      <c r="A291" s="48"/>
      <c r="C291" s="60"/>
    </row>
    <row r="292">
      <c r="A292" s="48"/>
      <c r="C292" s="60"/>
    </row>
    <row r="293">
      <c r="A293" s="48"/>
      <c r="C293" s="60"/>
    </row>
    <row r="294">
      <c r="A294" s="48"/>
      <c r="C294" s="60"/>
    </row>
    <row r="295">
      <c r="A295" s="48"/>
      <c r="C295" s="60"/>
    </row>
    <row r="296">
      <c r="A296" s="48"/>
      <c r="C296" s="60"/>
    </row>
    <row r="297">
      <c r="A297" s="48"/>
      <c r="C297" s="60"/>
    </row>
    <row r="298">
      <c r="A298" s="48"/>
      <c r="C298" s="60"/>
    </row>
    <row r="299">
      <c r="A299" s="48"/>
      <c r="C299" s="60"/>
    </row>
    <row r="300">
      <c r="A300" s="48"/>
      <c r="C300" s="60"/>
    </row>
    <row r="301">
      <c r="A301" s="48"/>
      <c r="C301" s="60"/>
    </row>
    <row r="302">
      <c r="A302" s="48"/>
      <c r="C302" s="60"/>
    </row>
    <row r="303">
      <c r="A303" s="48"/>
      <c r="C303" s="60"/>
    </row>
    <row r="304">
      <c r="A304" s="48"/>
      <c r="C304" s="60"/>
    </row>
    <row r="305">
      <c r="A305" s="48"/>
      <c r="C305" s="60"/>
    </row>
    <row r="306">
      <c r="A306" s="48"/>
      <c r="C306" s="60"/>
    </row>
    <row r="307">
      <c r="A307" s="48"/>
      <c r="C307" s="60"/>
    </row>
    <row r="308">
      <c r="A308" s="48"/>
      <c r="C308" s="60"/>
    </row>
    <row r="309">
      <c r="A309" s="48"/>
      <c r="C309" s="60"/>
    </row>
    <row r="310">
      <c r="A310" s="48"/>
      <c r="C310" s="60"/>
    </row>
    <row r="311">
      <c r="A311" s="48"/>
      <c r="C311" s="60"/>
    </row>
    <row r="312">
      <c r="A312" s="48"/>
      <c r="C312" s="60"/>
    </row>
    <row r="313">
      <c r="A313" s="48"/>
      <c r="C313" s="60"/>
    </row>
    <row r="314">
      <c r="A314" s="48"/>
      <c r="C314" s="60"/>
    </row>
    <row r="315">
      <c r="A315" s="48"/>
      <c r="C315" s="60"/>
    </row>
    <row r="316">
      <c r="A316" s="48"/>
      <c r="C316" s="60"/>
    </row>
    <row r="317">
      <c r="A317" s="48"/>
      <c r="C317" s="60"/>
    </row>
    <row r="318">
      <c r="A318" s="48"/>
      <c r="C318" s="60"/>
    </row>
    <row r="319">
      <c r="A319" s="48"/>
      <c r="C319" s="60"/>
    </row>
    <row r="320">
      <c r="A320" s="48"/>
      <c r="C320" s="60"/>
    </row>
    <row r="321">
      <c r="A321" s="48"/>
      <c r="C321" s="60"/>
    </row>
    <row r="322">
      <c r="A322" s="48"/>
      <c r="C322" s="60"/>
    </row>
    <row r="323">
      <c r="A323" s="48"/>
      <c r="C323" s="60"/>
    </row>
    <row r="324">
      <c r="A324" s="48"/>
      <c r="C324" s="60"/>
    </row>
    <row r="325">
      <c r="A325" s="48"/>
      <c r="C325" s="60"/>
    </row>
    <row r="326">
      <c r="A326" s="48"/>
      <c r="C326" s="60"/>
    </row>
    <row r="327">
      <c r="A327" s="48"/>
      <c r="C327" s="60"/>
    </row>
    <row r="328">
      <c r="A328" s="48"/>
      <c r="C328" s="60"/>
    </row>
    <row r="329">
      <c r="A329" s="48"/>
      <c r="C329" s="60"/>
    </row>
    <row r="330">
      <c r="A330" s="48"/>
      <c r="C330" s="60"/>
    </row>
    <row r="331">
      <c r="A331" s="48"/>
      <c r="C331" s="60"/>
    </row>
    <row r="332">
      <c r="A332" s="48"/>
      <c r="C332" s="60"/>
    </row>
    <row r="333">
      <c r="A333" s="48"/>
      <c r="C333" s="60"/>
    </row>
    <row r="334">
      <c r="A334" s="48"/>
      <c r="C334" s="60"/>
    </row>
    <row r="335">
      <c r="A335" s="48"/>
      <c r="C335" s="60"/>
    </row>
    <row r="336">
      <c r="A336" s="48"/>
      <c r="C336" s="60"/>
    </row>
    <row r="337">
      <c r="A337" s="48"/>
      <c r="C337" s="60"/>
    </row>
    <row r="338">
      <c r="A338" s="48"/>
      <c r="C338" s="60"/>
    </row>
    <row r="339">
      <c r="A339" s="48"/>
      <c r="C339" s="60"/>
    </row>
    <row r="340">
      <c r="A340" s="48"/>
      <c r="C340" s="60"/>
    </row>
    <row r="341">
      <c r="A341" s="48"/>
      <c r="C341" s="60"/>
    </row>
    <row r="342">
      <c r="A342" s="48"/>
      <c r="C342" s="60"/>
    </row>
    <row r="343">
      <c r="A343" s="48"/>
      <c r="C343" s="60"/>
    </row>
    <row r="344">
      <c r="A344" s="48"/>
      <c r="C344" s="60"/>
    </row>
    <row r="345">
      <c r="A345" s="48"/>
      <c r="C345" s="60"/>
    </row>
    <row r="346">
      <c r="A346" s="48"/>
      <c r="C346" s="60"/>
    </row>
    <row r="347">
      <c r="A347" s="48"/>
      <c r="C347" s="60"/>
    </row>
    <row r="348">
      <c r="A348" s="48"/>
      <c r="C348" s="60"/>
    </row>
    <row r="349">
      <c r="A349" s="48"/>
      <c r="C349" s="60"/>
    </row>
    <row r="350">
      <c r="A350" s="48"/>
      <c r="C350" s="60"/>
    </row>
    <row r="351">
      <c r="A351" s="48"/>
      <c r="C351" s="60"/>
    </row>
    <row r="352">
      <c r="A352" s="48"/>
      <c r="C352" s="60"/>
    </row>
    <row r="353">
      <c r="A353" s="48"/>
      <c r="C353" s="60"/>
    </row>
    <row r="354">
      <c r="A354" s="48"/>
      <c r="C354" s="60"/>
    </row>
    <row r="355">
      <c r="A355" s="48"/>
      <c r="C355" s="60"/>
    </row>
    <row r="356">
      <c r="A356" s="48"/>
      <c r="C356" s="60"/>
    </row>
    <row r="357">
      <c r="A357" s="48"/>
      <c r="C357" s="60"/>
    </row>
    <row r="358">
      <c r="A358" s="48"/>
      <c r="C358" s="60"/>
    </row>
    <row r="359">
      <c r="A359" s="48"/>
      <c r="C359" s="60"/>
    </row>
    <row r="360">
      <c r="A360" s="48"/>
      <c r="C360" s="60"/>
    </row>
    <row r="361">
      <c r="A361" s="48"/>
      <c r="C361" s="60"/>
    </row>
    <row r="362">
      <c r="A362" s="48"/>
      <c r="C362" s="60"/>
    </row>
    <row r="363">
      <c r="A363" s="48"/>
      <c r="C363" s="60"/>
    </row>
    <row r="364">
      <c r="A364" s="48"/>
      <c r="C364" s="60"/>
    </row>
    <row r="365">
      <c r="A365" s="48"/>
      <c r="C365" s="60"/>
    </row>
    <row r="366">
      <c r="A366" s="48"/>
      <c r="C366" s="60"/>
    </row>
    <row r="367">
      <c r="A367" s="48"/>
      <c r="C367" s="60"/>
    </row>
    <row r="368">
      <c r="A368" s="48"/>
      <c r="C368" s="60"/>
    </row>
    <row r="369">
      <c r="A369" s="48"/>
      <c r="C369" s="60"/>
    </row>
    <row r="370">
      <c r="A370" s="48"/>
      <c r="C370" s="60"/>
    </row>
    <row r="371">
      <c r="A371" s="48"/>
      <c r="C371" s="60"/>
    </row>
    <row r="372">
      <c r="A372" s="48"/>
      <c r="C372" s="60"/>
    </row>
    <row r="373">
      <c r="A373" s="48"/>
      <c r="C373" s="60"/>
    </row>
    <row r="374">
      <c r="A374" s="48"/>
      <c r="C374" s="60"/>
    </row>
    <row r="375">
      <c r="A375" s="48"/>
      <c r="C375" s="60"/>
    </row>
    <row r="376">
      <c r="A376" s="48"/>
      <c r="C376" s="60"/>
    </row>
    <row r="377">
      <c r="A377" s="48"/>
      <c r="C377" s="60"/>
    </row>
    <row r="378">
      <c r="A378" s="48"/>
      <c r="C378" s="60"/>
    </row>
    <row r="379">
      <c r="A379" s="48"/>
      <c r="C379" s="60"/>
    </row>
    <row r="380">
      <c r="A380" s="48"/>
      <c r="C380" s="60"/>
    </row>
    <row r="381">
      <c r="A381" s="48"/>
      <c r="C381" s="60"/>
    </row>
    <row r="382">
      <c r="A382" s="48"/>
      <c r="C382" s="60"/>
    </row>
    <row r="383">
      <c r="A383" s="48"/>
      <c r="C383" s="60"/>
    </row>
    <row r="384">
      <c r="A384" s="48"/>
      <c r="C384" s="60"/>
    </row>
    <row r="385">
      <c r="A385" s="48"/>
      <c r="C385" s="60"/>
    </row>
    <row r="386">
      <c r="A386" s="48"/>
      <c r="C386" s="60"/>
    </row>
    <row r="387">
      <c r="A387" s="48"/>
      <c r="C387" s="60"/>
    </row>
    <row r="388">
      <c r="A388" s="48"/>
      <c r="C388" s="60"/>
    </row>
    <row r="389">
      <c r="A389" s="48"/>
      <c r="C389" s="60"/>
    </row>
    <row r="390">
      <c r="A390" s="48"/>
      <c r="C390" s="60"/>
    </row>
    <row r="391">
      <c r="A391" s="48"/>
      <c r="C391" s="60"/>
    </row>
    <row r="392">
      <c r="A392" s="48"/>
      <c r="C392" s="60"/>
    </row>
    <row r="393">
      <c r="A393" s="48"/>
      <c r="C393" s="60"/>
    </row>
    <row r="394">
      <c r="A394" s="48"/>
      <c r="C394" s="60"/>
    </row>
    <row r="395">
      <c r="A395" s="48"/>
      <c r="C395" s="60"/>
    </row>
    <row r="396">
      <c r="A396" s="48"/>
      <c r="C396" s="60"/>
    </row>
    <row r="397">
      <c r="A397" s="48"/>
      <c r="C397" s="60"/>
    </row>
    <row r="398">
      <c r="A398" s="48"/>
      <c r="C398" s="60"/>
    </row>
    <row r="399">
      <c r="A399" s="48"/>
      <c r="C399" s="60"/>
    </row>
    <row r="400">
      <c r="A400" s="48"/>
      <c r="C400" s="60"/>
    </row>
    <row r="401">
      <c r="A401" s="48"/>
      <c r="C401" s="60"/>
    </row>
    <row r="402">
      <c r="A402" s="48"/>
      <c r="C402" s="60"/>
    </row>
    <row r="403">
      <c r="A403" s="48"/>
      <c r="C403" s="60"/>
    </row>
    <row r="404">
      <c r="A404" s="48"/>
      <c r="C404" s="60"/>
    </row>
    <row r="405">
      <c r="A405" s="48"/>
      <c r="C405" s="60"/>
    </row>
    <row r="406">
      <c r="A406" s="48"/>
      <c r="C406" s="60"/>
    </row>
    <row r="407">
      <c r="A407" s="48"/>
      <c r="C407" s="60"/>
    </row>
    <row r="408">
      <c r="A408" s="48"/>
      <c r="C408" s="60"/>
    </row>
    <row r="409">
      <c r="A409" s="48"/>
      <c r="C409" s="60"/>
    </row>
    <row r="410">
      <c r="A410" s="48"/>
      <c r="C410" s="60"/>
    </row>
    <row r="411">
      <c r="A411" s="48"/>
      <c r="C411" s="60"/>
    </row>
    <row r="412">
      <c r="A412" s="48"/>
      <c r="C412" s="60"/>
    </row>
    <row r="413">
      <c r="A413" s="48"/>
      <c r="C413" s="60"/>
    </row>
    <row r="414">
      <c r="A414" s="48"/>
      <c r="C414" s="60"/>
    </row>
    <row r="415">
      <c r="A415" s="48"/>
      <c r="C415" s="60"/>
    </row>
    <row r="416">
      <c r="A416" s="48"/>
      <c r="C416" s="60"/>
    </row>
    <row r="417">
      <c r="A417" s="48"/>
      <c r="C417" s="60"/>
    </row>
    <row r="418">
      <c r="A418" s="48"/>
      <c r="C418" s="60"/>
    </row>
    <row r="419">
      <c r="A419" s="48"/>
      <c r="C419" s="60"/>
    </row>
    <row r="420">
      <c r="A420" s="48"/>
      <c r="C420" s="60"/>
    </row>
    <row r="421">
      <c r="A421" s="48"/>
      <c r="C421" s="60"/>
    </row>
    <row r="422">
      <c r="A422" s="48"/>
      <c r="C422" s="60"/>
    </row>
    <row r="423">
      <c r="A423" s="48"/>
      <c r="C423" s="60"/>
    </row>
    <row r="424">
      <c r="A424" s="48"/>
      <c r="C424" s="60"/>
    </row>
    <row r="425">
      <c r="A425" s="48"/>
      <c r="C425" s="60"/>
    </row>
    <row r="426">
      <c r="A426" s="48"/>
      <c r="C426" s="60"/>
    </row>
    <row r="427">
      <c r="A427" s="48"/>
      <c r="C427" s="60"/>
    </row>
    <row r="428">
      <c r="A428" s="48"/>
      <c r="C428" s="60"/>
    </row>
    <row r="429">
      <c r="A429" s="48"/>
      <c r="C429" s="60"/>
    </row>
    <row r="430">
      <c r="A430" s="48"/>
      <c r="C430" s="60"/>
    </row>
    <row r="431">
      <c r="A431" s="48"/>
      <c r="C431" s="60"/>
    </row>
    <row r="432">
      <c r="A432" s="48"/>
      <c r="C432" s="60"/>
    </row>
    <row r="433">
      <c r="A433" s="48"/>
      <c r="C433" s="60"/>
    </row>
    <row r="434">
      <c r="A434" s="48"/>
      <c r="C434" s="60"/>
    </row>
    <row r="435">
      <c r="A435" s="48"/>
      <c r="C435" s="60"/>
    </row>
    <row r="436">
      <c r="A436" s="48"/>
      <c r="C436" s="60"/>
    </row>
    <row r="437">
      <c r="A437" s="48"/>
      <c r="C437" s="60"/>
    </row>
    <row r="438">
      <c r="A438" s="48"/>
      <c r="C438" s="60"/>
    </row>
    <row r="439">
      <c r="A439" s="48"/>
      <c r="C439" s="60"/>
    </row>
    <row r="440">
      <c r="A440" s="48"/>
      <c r="C440" s="60"/>
    </row>
    <row r="441">
      <c r="A441" s="48"/>
      <c r="C441" s="60"/>
    </row>
    <row r="442">
      <c r="A442" s="48"/>
      <c r="C442" s="60"/>
    </row>
    <row r="443">
      <c r="A443" s="48"/>
      <c r="C443" s="60"/>
    </row>
    <row r="444">
      <c r="A444" s="48"/>
      <c r="C444" s="60"/>
    </row>
    <row r="445">
      <c r="A445" s="48"/>
      <c r="C445" s="60"/>
    </row>
    <row r="446">
      <c r="A446" s="48"/>
      <c r="C446" s="60"/>
    </row>
    <row r="447">
      <c r="A447" s="48"/>
      <c r="C447" s="60"/>
    </row>
    <row r="448">
      <c r="A448" s="48"/>
      <c r="C448" s="60"/>
    </row>
    <row r="449">
      <c r="A449" s="48"/>
      <c r="C449" s="60"/>
    </row>
    <row r="450">
      <c r="A450" s="48"/>
      <c r="C450" s="60"/>
    </row>
    <row r="451">
      <c r="A451" s="48"/>
      <c r="C451" s="60"/>
    </row>
    <row r="452">
      <c r="A452" s="48"/>
      <c r="C452" s="60"/>
    </row>
    <row r="453">
      <c r="A453" s="48"/>
      <c r="C453" s="60"/>
    </row>
    <row r="454">
      <c r="A454" s="48"/>
      <c r="C454" s="60"/>
    </row>
    <row r="455">
      <c r="A455" s="48"/>
      <c r="C455" s="60"/>
    </row>
    <row r="456">
      <c r="A456" s="48"/>
      <c r="C456" s="60"/>
    </row>
    <row r="457">
      <c r="A457" s="48"/>
      <c r="C457" s="60"/>
    </row>
    <row r="458">
      <c r="A458" s="48"/>
      <c r="C458" s="60"/>
    </row>
    <row r="459">
      <c r="A459" s="48"/>
      <c r="C459" s="60"/>
    </row>
    <row r="460">
      <c r="A460" s="48"/>
      <c r="C460" s="60"/>
    </row>
    <row r="461">
      <c r="A461" s="48"/>
      <c r="C461" s="60"/>
    </row>
    <row r="462">
      <c r="A462" s="48"/>
      <c r="C462" s="60"/>
    </row>
    <row r="463">
      <c r="A463" s="48"/>
      <c r="C463" s="60"/>
    </row>
    <row r="464">
      <c r="A464" s="48"/>
      <c r="C464" s="60"/>
    </row>
    <row r="465">
      <c r="A465" s="48"/>
      <c r="C465" s="60"/>
    </row>
    <row r="466">
      <c r="A466" s="48"/>
      <c r="C466" s="60"/>
    </row>
    <row r="467">
      <c r="A467" s="48"/>
      <c r="C467" s="60"/>
    </row>
    <row r="468">
      <c r="A468" s="48"/>
      <c r="C468" s="60"/>
    </row>
    <row r="469">
      <c r="A469" s="48"/>
      <c r="C469" s="60"/>
    </row>
    <row r="470">
      <c r="A470" s="48"/>
      <c r="C470" s="60"/>
    </row>
    <row r="471">
      <c r="A471" s="48"/>
      <c r="C471" s="60"/>
    </row>
    <row r="472">
      <c r="A472" s="48"/>
      <c r="C472" s="60"/>
    </row>
    <row r="473">
      <c r="A473" s="48"/>
      <c r="C473" s="60"/>
    </row>
    <row r="474">
      <c r="A474" s="48"/>
      <c r="C474" s="60"/>
    </row>
    <row r="475">
      <c r="A475" s="48"/>
      <c r="C475" s="60"/>
    </row>
    <row r="476">
      <c r="A476" s="48"/>
      <c r="C476" s="60"/>
    </row>
    <row r="477">
      <c r="A477" s="48"/>
      <c r="C477" s="60"/>
    </row>
    <row r="478">
      <c r="A478" s="48"/>
      <c r="C478" s="60"/>
    </row>
    <row r="479">
      <c r="A479" s="48"/>
      <c r="C479" s="60"/>
    </row>
    <row r="480">
      <c r="A480" s="48"/>
      <c r="C480" s="60"/>
    </row>
    <row r="481">
      <c r="A481" s="48"/>
      <c r="C481" s="60"/>
    </row>
    <row r="482">
      <c r="A482" s="48"/>
      <c r="C482" s="60"/>
    </row>
    <row r="483">
      <c r="A483" s="48"/>
      <c r="C483" s="60"/>
    </row>
    <row r="484">
      <c r="A484" s="48"/>
      <c r="C484" s="60"/>
    </row>
    <row r="485">
      <c r="A485" s="48"/>
      <c r="C485" s="60"/>
    </row>
    <row r="486">
      <c r="A486" s="48"/>
      <c r="C486" s="60"/>
    </row>
    <row r="487">
      <c r="A487" s="48"/>
      <c r="C487" s="60"/>
    </row>
    <row r="488">
      <c r="A488" s="48"/>
      <c r="C488" s="60"/>
    </row>
    <row r="489">
      <c r="A489" s="48"/>
      <c r="C489" s="60"/>
    </row>
    <row r="490">
      <c r="A490" s="48"/>
      <c r="C490" s="60"/>
    </row>
    <row r="491">
      <c r="A491" s="48"/>
      <c r="C491" s="60"/>
    </row>
    <row r="492">
      <c r="A492" s="48"/>
      <c r="C492" s="60"/>
    </row>
    <row r="493">
      <c r="A493" s="48"/>
      <c r="C493" s="60"/>
    </row>
    <row r="494">
      <c r="A494" s="48"/>
      <c r="C494" s="60"/>
    </row>
    <row r="495">
      <c r="A495" s="48"/>
      <c r="C495" s="60"/>
    </row>
    <row r="496">
      <c r="A496" s="48"/>
      <c r="C496" s="60"/>
    </row>
    <row r="497">
      <c r="A497" s="48"/>
      <c r="C497" s="60"/>
    </row>
    <row r="498">
      <c r="A498" s="48"/>
      <c r="C498" s="60"/>
    </row>
    <row r="499">
      <c r="A499" s="48"/>
      <c r="C499" s="60"/>
    </row>
    <row r="500">
      <c r="A500" s="48"/>
      <c r="C500" s="60"/>
    </row>
    <row r="501">
      <c r="A501" s="48"/>
      <c r="C501" s="60"/>
    </row>
    <row r="502">
      <c r="A502" s="48"/>
      <c r="C502" s="60"/>
    </row>
    <row r="503">
      <c r="A503" s="48"/>
      <c r="C503" s="60"/>
    </row>
    <row r="504">
      <c r="A504" s="48"/>
      <c r="C504" s="60"/>
    </row>
    <row r="505">
      <c r="A505" s="48"/>
      <c r="C505" s="60"/>
    </row>
    <row r="506">
      <c r="A506" s="48"/>
      <c r="C506" s="60"/>
    </row>
    <row r="507">
      <c r="A507" s="48"/>
      <c r="C507" s="60"/>
    </row>
    <row r="508">
      <c r="A508" s="48"/>
      <c r="C508" s="60"/>
    </row>
    <row r="509">
      <c r="A509" s="48"/>
      <c r="C509" s="60"/>
    </row>
    <row r="510">
      <c r="A510" s="48"/>
      <c r="C510" s="60"/>
    </row>
    <row r="511">
      <c r="A511" s="48"/>
      <c r="C511" s="60"/>
    </row>
    <row r="512">
      <c r="A512" s="48"/>
      <c r="C512" s="60"/>
    </row>
    <row r="513">
      <c r="A513" s="48"/>
      <c r="C513" s="60"/>
    </row>
    <row r="514">
      <c r="A514" s="48"/>
      <c r="C514" s="60"/>
    </row>
    <row r="515">
      <c r="A515" s="48"/>
      <c r="C515" s="60"/>
    </row>
    <row r="516">
      <c r="A516" s="48"/>
      <c r="C516" s="60"/>
    </row>
    <row r="517">
      <c r="A517" s="48"/>
      <c r="C517" s="60"/>
    </row>
    <row r="518">
      <c r="A518" s="48"/>
      <c r="C518" s="60"/>
    </row>
    <row r="519">
      <c r="A519" s="48"/>
      <c r="C519" s="60"/>
    </row>
    <row r="520">
      <c r="A520" s="48"/>
      <c r="C520" s="60"/>
    </row>
    <row r="521">
      <c r="A521" s="48"/>
      <c r="C521" s="60"/>
    </row>
    <row r="522">
      <c r="A522" s="48"/>
      <c r="C522" s="60"/>
    </row>
    <row r="523">
      <c r="A523" s="48"/>
      <c r="C523" s="60"/>
    </row>
    <row r="524">
      <c r="A524" s="48"/>
      <c r="C524" s="60"/>
    </row>
    <row r="525">
      <c r="A525" s="48"/>
      <c r="C525" s="60"/>
    </row>
    <row r="526">
      <c r="A526" s="48"/>
      <c r="C526" s="60"/>
    </row>
    <row r="527">
      <c r="A527" s="48"/>
      <c r="C527" s="60"/>
    </row>
    <row r="528">
      <c r="A528" s="48"/>
      <c r="C528" s="60"/>
    </row>
    <row r="529">
      <c r="A529" s="48"/>
      <c r="C529" s="60"/>
    </row>
    <row r="530">
      <c r="A530" s="48"/>
      <c r="C530" s="60"/>
    </row>
    <row r="531">
      <c r="A531" s="48"/>
      <c r="C531" s="60"/>
    </row>
    <row r="532">
      <c r="A532" s="48"/>
      <c r="C532" s="60"/>
    </row>
    <row r="533">
      <c r="A533" s="48"/>
      <c r="C533" s="60"/>
    </row>
    <row r="534">
      <c r="A534" s="48"/>
      <c r="C534" s="60"/>
    </row>
    <row r="535">
      <c r="A535" s="48"/>
      <c r="C535" s="60"/>
    </row>
    <row r="536">
      <c r="A536" s="48"/>
      <c r="C536" s="60"/>
    </row>
    <row r="537">
      <c r="A537" s="48"/>
      <c r="C537" s="60"/>
    </row>
    <row r="538">
      <c r="A538" s="48"/>
      <c r="C538" s="60"/>
    </row>
    <row r="539">
      <c r="A539" s="48"/>
      <c r="C539" s="60"/>
    </row>
    <row r="540">
      <c r="A540" s="48"/>
      <c r="C540" s="60"/>
    </row>
    <row r="541">
      <c r="A541" s="48"/>
      <c r="C541" s="60"/>
    </row>
    <row r="542">
      <c r="A542" s="48"/>
      <c r="C542" s="60"/>
    </row>
    <row r="543">
      <c r="A543" s="48"/>
      <c r="C543" s="60"/>
    </row>
    <row r="544">
      <c r="A544" s="48"/>
      <c r="C544" s="60"/>
    </row>
    <row r="545">
      <c r="A545" s="48"/>
      <c r="C545" s="60"/>
    </row>
    <row r="546">
      <c r="A546" s="48"/>
      <c r="C546" s="60"/>
    </row>
    <row r="547">
      <c r="A547" s="48"/>
      <c r="C547" s="60"/>
    </row>
    <row r="548">
      <c r="A548" s="48"/>
      <c r="C548" s="60"/>
    </row>
    <row r="549">
      <c r="A549" s="48"/>
      <c r="C549" s="60"/>
    </row>
    <row r="550">
      <c r="A550" s="48"/>
      <c r="C550" s="60"/>
    </row>
    <row r="551">
      <c r="A551" s="48"/>
      <c r="C551" s="60"/>
    </row>
    <row r="552">
      <c r="A552" s="48"/>
      <c r="C552" s="60"/>
    </row>
    <row r="553">
      <c r="A553" s="48"/>
      <c r="C553" s="60"/>
    </row>
    <row r="554">
      <c r="A554" s="48"/>
      <c r="C554" s="60"/>
    </row>
    <row r="555">
      <c r="A555" s="48"/>
      <c r="C555" s="60"/>
    </row>
    <row r="556">
      <c r="A556" s="48"/>
      <c r="C556" s="60"/>
    </row>
    <row r="557">
      <c r="A557" s="48"/>
      <c r="C557" s="60"/>
    </row>
    <row r="558">
      <c r="A558" s="48"/>
      <c r="C558" s="60"/>
    </row>
    <row r="559">
      <c r="A559" s="48"/>
      <c r="C559" s="60"/>
    </row>
    <row r="560">
      <c r="A560" s="48"/>
      <c r="C560" s="60"/>
    </row>
    <row r="561">
      <c r="A561" s="48"/>
      <c r="C561" s="60"/>
    </row>
    <row r="562">
      <c r="A562" s="48"/>
      <c r="C562" s="60"/>
    </row>
    <row r="563">
      <c r="A563" s="48"/>
      <c r="C563" s="60"/>
    </row>
    <row r="564">
      <c r="A564" s="48"/>
      <c r="C564" s="60"/>
    </row>
    <row r="565">
      <c r="A565" s="48"/>
      <c r="C565" s="60"/>
    </row>
    <row r="566">
      <c r="A566" s="48"/>
      <c r="C566" s="60"/>
    </row>
    <row r="567">
      <c r="A567" s="48"/>
      <c r="C567" s="60"/>
    </row>
    <row r="568">
      <c r="A568" s="48"/>
      <c r="C568" s="60"/>
    </row>
    <row r="569">
      <c r="A569" s="48"/>
      <c r="C569" s="60"/>
    </row>
    <row r="570">
      <c r="A570" s="48"/>
      <c r="C570" s="60"/>
    </row>
    <row r="571">
      <c r="A571" s="48"/>
      <c r="C571" s="60"/>
    </row>
    <row r="572">
      <c r="A572" s="48"/>
      <c r="C572" s="60"/>
    </row>
    <row r="573">
      <c r="A573" s="48"/>
      <c r="C573" s="60"/>
    </row>
    <row r="574">
      <c r="A574" s="48"/>
      <c r="C574" s="60"/>
    </row>
    <row r="575">
      <c r="A575" s="48"/>
      <c r="C575" s="60"/>
    </row>
    <row r="576">
      <c r="A576" s="48"/>
      <c r="C576" s="60"/>
    </row>
    <row r="577">
      <c r="A577" s="48"/>
      <c r="C577" s="60"/>
    </row>
    <row r="578">
      <c r="A578" s="48"/>
      <c r="C578" s="60"/>
    </row>
    <row r="579">
      <c r="A579" s="48"/>
      <c r="C579" s="60"/>
    </row>
    <row r="580">
      <c r="A580" s="48"/>
      <c r="C580" s="60"/>
    </row>
    <row r="581">
      <c r="A581" s="48"/>
      <c r="C581" s="60"/>
    </row>
    <row r="582">
      <c r="A582" s="48"/>
      <c r="C582" s="60"/>
    </row>
    <row r="583">
      <c r="A583" s="48"/>
      <c r="C583" s="60"/>
    </row>
    <row r="584">
      <c r="A584" s="48"/>
      <c r="C584" s="60"/>
    </row>
    <row r="585">
      <c r="A585" s="48"/>
      <c r="C585" s="60"/>
    </row>
    <row r="586">
      <c r="A586" s="48"/>
      <c r="C586" s="60"/>
    </row>
    <row r="587">
      <c r="A587" s="48"/>
      <c r="C587" s="60"/>
    </row>
    <row r="588">
      <c r="A588" s="48"/>
      <c r="C588" s="60"/>
    </row>
    <row r="589">
      <c r="A589" s="48"/>
      <c r="C589" s="60"/>
    </row>
    <row r="590">
      <c r="A590" s="48"/>
      <c r="C590" s="60"/>
    </row>
    <row r="591">
      <c r="A591" s="48"/>
      <c r="C591" s="60"/>
    </row>
    <row r="592">
      <c r="A592" s="48"/>
      <c r="C592" s="60"/>
    </row>
    <row r="593">
      <c r="A593" s="48"/>
      <c r="C593" s="60"/>
    </row>
    <row r="594">
      <c r="A594" s="48"/>
      <c r="C594" s="60"/>
    </row>
    <row r="595">
      <c r="A595" s="48"/>
      <c r="C595" s="60"/>
    </row>
    <row r="596">
      <c r="A596" s="48"/>
      <c r="C596" s="60"/>
    </row>
    <row r="597">
      <c r="A597" s="48"/>
      <c r="C597" s="60"/>
    </row>
    <row r="598">
      <c r="A598" s="48"/>
      <c r="C598" s="60"/>
    </row>
    <row r="599">
      <c r="A599" s="48"/>
      <c r="C599" s="60"/>
    </row>
    <row r="600">
      <c r="A600" s="48"/>
      <c r="C600" s="60"/>
    </row>
    <row r="601">
      <c r="A601" s="48"/>
      <c r="C601" s="60"/>
    </row>
    <row r="602">
      <c r="A602" s="48"/>
      <c r="C602" s="60"/>
    </row>
    <row r="603">
      <c r="A603" s="48"/>
      <c r="C603" s="60"/>
    </row>
    <row r="604">
      <c r="A604" s="48"/>
      <c r="C604" s="60"/>
    </row>
    <row r="605">
      <c r="A605" s="48"/>
      <c r="C605" s="60"/>
    </row>
    <row r="606">
      <c r="A606" s="48"/>
      <c r="C606" s="60"/>
    </row>
    <row r="607">
      <c r="A607" s="48"/>
      <c r="C607" s="60"/>
    </row>
    <row r="608">
      <c r="A608" s="48"/>
      <c r="C608" s="60"/>
    </row>
    <row r="609">
      <c r="A609" s="48"/>
      <c r="C609" s="60"/>
    </row>
    <row r="610">
      <c r="A610" s="48"/>
      <c r="C610" s="60"/>
    </row>
    <row r="611">
      <c r="A611" s="48"/>
      <c r="C611" s="60"/>
    </row>
    <row r="612">
      <c r="A612" s="48"/>
      <c r="C612" s="60"/>
    </row>
    <row r="613">
      <c r="A613" s="48"/>
      <c r="C613" s="60"/>
    </row>
    <row r="614">
      <c r="A614" s="48"/>
      <c r="C614" s="60"/>
    </row>
    <row r="615">
      <c r="A615" s="48"/>
      <c r="C615" s="60"/>
    </row>
    <row r="616">
      <c r="A616" s="48"/>
      <c r="C616" s="60"/>
    </row>
    <row r="617">
      <c r="A617" s="48"/>
      <c r="C617" s="60"/>
    </row>
    <row r="618">
      <c r="A618" s="48"/>
      <c r="C618" s="60"/>
    </row>
    <row r="619">
      <c r="A619" s="48"/>
      <c r="C619" s="60"/>
    </row>
    <row r="620">
      <c r="A620" s="48"/>
      <c r="C620" s="60"/>
    </row>
    <row r="621">
      <c r="A621" s="48"/>
      <c r="C621" s="60"/>
    </row>
    <row r="622">
      <c r="A622" s="48"/>
      <c r="C622" s="60"/>
    </row>
    <row r="623">
      <c r="A623" s="48"/>
      <c r="C623" s="60"/>
    </row>
    <row r="624">
      <c r="A624" s="48"/>
      <c r="C624" s="60"/>
    </row>
    <row r="625">
      <c r="A625" s="48"/>
      <c r="C625" s="60"/>
    </row>
    <row r="626">
      <c r="A626" s="48"/>
      <c r="C626" s="60"/>
    </row>
    <row r="627">
      <c r="A627" s="48"/>
      <c r="C627" s="60"/>
    </row>
    <row r="628">
      <c r="A628" s="48"/>
      <c r="C628" s="60"/>
    </row>
    <row r="629">
      <c r="A629" s="48"/>
      <c r="C629" s="60"/>
    </row>
    <row r="630">
      <c r="A630" s="48"/>
      <c r="C630" s="60"/>
    </row>
    <row r="631">
      <c r="A631" s="48"/>
      <c r="C631" s="60"/>
    </row>
    <row r="632">
      <c r="A632" s="48"/>
      <c r="C632" s="60"/>
    </row>
    <row r="633">
      <c r="A633" s="48"/>
      <c r="C633" s="60"/>
    </row>
    <row r="634">
      <c r="A634" s="48"/>
      <c r="C634" s="60"/>
    </row>
    <row r="635">
      <c r="A635" s="48"/>
      <c r="C635" s="60"/>
    </row>
    <row r="636">
      <c r="A636" s="48"/>
      <c r="C636" s="60"/>
    </row>
    <row r="637">
      <c r="A637" s="48"/>
      <c r="C637" s="60"/>
    </row>
    <row r="638">
      <c r="A638" s="48"/>
      <c r="C638" s="60"/>
    </row>
    <row r="639">
      <c r="A639" s="48"/>
      <c r="C639" s="60"/>
    </row>
    <row r="640">
      <c r="A640" s="48"/>
      <c r="C640" s="60"/>
    </row>
    <row r="641">
      <c r="A641" s="48"/>
      <c r="C641" s="60"/>
    </row>
    <row r="642">
      <c r="A642" s="48"/>
      <c r="C642" s="60"/>
    </row>
    <row r="643">
      <c r="A643" s="48"/>
      <c r="C643" s="60"/>
    </row>
    <row r="644">
      <c r="A644" s="48"/>
      <c r="C644" s="60"/>
    </row>
    <row r="645">
      <c r="A645" s="48"/>
      <c r="C645" s="60"/>
    </row>
    <row r="646">
      <c r="A646" s="48"/>
      <c r="C646" s="60"/>
    </row>
    <row r="647">
      <c r="A647" s="48"/>
      <c r="C647" s="60"/>
    </row>
    <row r="648">
      <c r="A648" s="48"/>
      <c r="C648" s="60"/>
    </row>
    <row r="649">
      <c r="A649" s="48"/>
      <c r="C649" s="60"/>
    </row>
    <row r="650">
      <c r="A650" s="48"/>
      <c r="C650" s="60"/>
    </row>
    <row r="651">
      <c r="A651" s="48"/>
      <c r="C651" s="60"/>
    </row>
    <row r="652">
      <c r="A652" s="48"/>
      <c r="C652" s="60"/>
    </row>
    <row r="653">
      <c r="A653" s="48"/>
      <c r="C653" s="60"/>
    </row>
    <row r="654">
      <c r="A654" s="48"/>
      <c r="C654" s="60"/>
    </row>
    <row r="655">
      <c r="A655" s="48"/>
      <c r="C655" s="60"/>
    </row>
    <row r="656">
      <c r="A656" s="48"/>
      <c r="C656" s="60"/>
    </row>
    <row r="657">
      <c r="A657" s="48"/>
      <c r="C657" s="60"/>
    </row>
    <row r="658">
      <c r="A658" s="48"/>
      <c r="C658" s="60"/>
    </row>
    <row r="659">
      <c r="A659" s="48"/>
      <c r="C659" s="60"/>
    </row>
    <row r="660">
      <c r="A660" s="48"/>
      <c r="C660" s="60"/>
    </row>
    <row r="661">
      <c r="A661" s="48"/>
      <c r="C661" s="60"/>
    </row>
    <row r="662">
      <c r="A662" s="48"/>
      <c r="C662" s="60"/>
    </row>
    <row r="663">
      <c r="A663" s="48"/>
      <c r="C663" s="60"/>
    </row>
    <row r="664">
      <c r="A664" s="48"/>
      <c r="C664" s="60"/>
    </row>
    <row r="665">
      <c r="A665" s="48"/>
      <c r="C665" s="60"/>
    </row>
    <row r="666">
      <c r="A666" s="48"/>
      <c r="C666" s="60"/>
    </row>
    <row r="667">
      <c r="A667" s="48"/>
      <c r="C667" s="60"/>
    </row>
    <row r="668">
      <c r="A668" s="48"/>
      <c r="C668" s="60"/>
    </row>
    <row r="669">
      <c r="A669" s="48"/>
      <c r="C669" s="60"/>
    </row>
    <row r="670">
      <c r="A670" s="48"/>
      <c r="C670" s="60"/>
    </row>
    <row r="671">
      <c r="A671" s="48"/>
      <c r="C671" s="60"/>
    </row>
    <row r="672">
      <c r="A672" s="48"/>
      <c r="C672" s="60"/>
    </row>
    <row r="673">
      <c r="A673" s="48"/>
      <c r="C673" s="60"/>
    </row>
    <row r="674">
      <c r="A674" s="48"/>
      <c r="C674" s="60"/>
    </row>
    <row r="675">
      <c r="A675" s="48"/>
      <c r="C675" s="60"/>
    </row>
    <row r="676">
      <c r="A676" s="48"/>
      <c r="C676" s="60"/>
    </row>
    <row r="677">
      <c r="A677" s="48"/>
      <c r="C677" s="60"/>
    </row>
    <row r="678">
      <c r="A678" s="48"/>
      <c r="C678" s="60"/>
    </row>
    <row r="679">
      <c r="A679" s="48"/>
      <c r="C679" s="60"/>
    </row>
    <row r="680">
      <c r="A680" s="48"/>
      <c r="C680" s="60"/>
    </row>
    <row r="681">
      <c r="A681" s="48"/>
      <c r="C681" s="60"/>
    </row>
    <row r="682">
      <c r="A682" s="48"/>
      <c r="C682" s="60"/>
    </row>
    <row r="683">
      <c r="A683" s="48"/>
      <c r="C683" s="60"/>
    </row>
    <row r="684">
      <c r="A684" s="48"/>
      <c r="C684" s="60"/>
    </row>
    <row r="685">
      <c r="A685" s="48"/>
      <c r="C685" s="60"/>
    </row>
    <row r="686">
      <c r="A686" s="48"/>
      <c r="C686" s="60"/>
    </row>
    <row r="687">
      <c r="A687" s="48"/>
      <c r="C687" s="60"/>
    </row>
    <row r="688">
      <c r="A688" s="48"/>
      <c r="C688" s="60"/>
    </row>
    <row r="689">
      <c r="A689" s="48"/>
      <c r="C689" s="60"/>
    </row>
    <row r="690">
      <c r="A690" s="48"/>
      <c r="C690" s="60"/>
    </row>
    <row r="691">
      <c r="A691" s="48"/>
      <c r="C691" s="60"/>
    </row>
    <row r="692">
      <c r="A692" s="48"/>
      <c r="C692" s="60"/>
    </row>
    <row r="693">
      <c r="A693" s="48"/>
      <c r="C693" s="60"/>
    </row>
    <row r="694">
      <c r="A694" s="48"/>
      <c r="C694" s="60"/>
    </row>
    <row r="695">
      <c r="A695" s="48"/>
      <c r="C695" s="60"/>
    </row>
    <row r="696">
      <c r="A696" s="48"/>
      <c r="C696" s="60"/>
    </row>
    <row r="697">
      <c r="A697" s="48"/>
      <c r="C697" s="60"/>
    </row>
    <row r="698">
      <c r="A698" s="48"/>
      <c r="C698" s="60"/>
    </row>
    <row r="699">
      <c r="A699" s="48"/>
      <c r="C699" s="60"/>
    </row>
    <row r="700">
      <c r="A700" s="48"/>
      <c r="C700" s="60"/>
    </row>
    <row r="701">
      <c r="A701" s="48"/>
      <c r="C701" s="60"/>
    </row>
    <row r="702">
      <c r="A702" s="48"/>
      <c r="C702" s="60"/>
    </row>
    <row r="703">
      <c r="A703" s="48"/>
      <c r="C703" s="60"/>
    </row>
    <row r="704">
      <c r="A704" s="48"/>
      <c r="C704" s="60"/>
    </row>
    <row r="705">
      <c r="A705" s="48"/>
      <c r="C705" s="60"/>
    </row>
    <row r="706">
      <c r="A706" s="48"/>
      <c r="C706" s="60"/>
    </row>
    <row r="707">
      <c r="A707" s="48"/>
      <c r="C707" s="60"/>
    </row>
    <row r="708">
      <c r="A708" s="48"/>
      <c r="C708" s="60"/>
    </row>
    <row r="709">
      <c r="A709" s="48"/>
      <c r="C709" s="60"/>
    </row>
    <row r="710">
      <c r="A710" s="48"/>
      <c r="C710" s="60"/>
    </row>
    <row r="711">
      <c r="A711" s="48"/>
      <c r="C711" s="60"/>
    </row>
    <row r="712">
      <c r="A712" s="48"/>
      <c r="C712" s="60"/>
    </row>
    <row r="713">
      <c r="A713" s="48"/>
      <c r="C713" s="60"/>
    </row>
    <row r="714">
      <c r="A714" s="48"/>
      <c r="C714" s="60"/>
    </row>
    <row r="715">
      <c r="A715" s="48"/>
      <c r="C715" s="60"/>
    </row>
    <row r="716">
      <c r="A716" s="48"/>
      <c r="C716" s="60"/>
    </row>
    <row r="717">
      <c r="A717" s="48"/>
      <c r="C717" s="60"/>
    </row>
    <row r="718">
      <c r="A718" s="48"/>
      <c r="C718" s="60"/>
    </row>
    <row r="719">
      <c r="A719" s="48"/>
      <c r="C719" s="60"/>
    </row>
    <row r="720">
      <c r="A720" s="48"/>
      <c r="C720" s="60"/>
    </row>
    <row r="721">
      <c r="A721" s="48"/>
      <c r="C721" s="60"/>
    </row>
    <row r="722">
      <c r="A722" s="48"/>
      <c r="C722" s="60"/>
    </row>
    <row r="723">
      <c r="A723" s="48"/>
      <c r="C723" s="60"/>
    </row>
    <row r="724">
      <c r="A724" s="48"/>
      <c r="C724" s="60"/>
    </row>
    <row r="725">
      <c r="A725" s="48"/>
      <c r="C725" s="60"/>
    </row>
    <row r="726">
      <c r="A726" s="48"/>
      <c r="C726" s="60"/>
    </row>
    <row r="727">
      <c r="A727" s="48"/>
      <c r="C727" s="60"/>
    </row>
    <row r="728">
      <c r="A728" s="48"/>
      <c r="C728" s="60"/>
    </row>
    <row r="729">
      <c r="A729" s="48"/>
      <c r="C729" s="60"/>
    </row>
    <row r="730">
      <c r="A730" s="48"/>
      <c r="C730" s="60"/>
    </row>
    <row r="731">
      <c r="A731" s="48"/>
      <c r="C731" s="60"/>
    </row>
    <row r="732">
      <c r="A732" s="48"/>
      <c r="C732" s="60"/>
    </row>
    <row r="733">
      <c r="A733" s="48"/>
      <c r="C733" s="60"/>
    </row>
    <row r="734">
      <c r="A734" s="48"/>
      <c r="C734" s="60"/>
    </row>
    <row r="735">
      <c r="A735" s="48"/>
      <c r="C735" s="60"/>
    </row>
    <row r="736">
      <c r="A736" s="48"/>
      <c r="C736" s="60"/>
    </row>
    <row r="737">
      <c r="A737" s="48"/>
      <c r="C737" s="60"/>
    </row>
    <row r="738">
      <c r="A738" s="48"/>
      <c r="C738" s="60"/>
    </row>
    <row r="739">
      <c r="A739" s="48"/>
      <c r="C739" s="60"/>
    </row>
    <row r="740">
      <c r="A740" s="48"/>
      <c r="C740" s="60"/>
    </row>
    <row r="741">
      <c r="A741" s="48"/>
      <c r="C741" s="60"/>
    </row>
    <row r="742">
      <c r="A742" s="48"/>
      <c r="C742" s="60"/>
    </row>
    <row r="743">
      <c r="A743" s="48"/>
      <c r="C743" s="60"/>
    </row>
    <row r="744">
      <c r="A744" s="48"/>
      <c r="C744" s="60"/>
    </row>
    <row r="745">
      <c r="A745" s="48"/>
      <c r="C745" s="60"/>
    </row>
    <row r="746">
      <c r="A746" s="48"/>
      <c r="C746" s="60"/>
    </row>
    <row r="747">
      <c r="A747" s="48"/>
      <c r="C747" s="60"/>
    </row>
    <row r="748">
      <c r="A748" s="48"/>
      <c r="C748" s="60"/>
    </row>
    <row r="749">
      <c r="A749" s="48"/>
      <c r="C749" s="60"/>
    </row>
    <row r="750">
      <c r="A750" s="48"/>
      <c r="C750" s="60"/>
    </row>
    <row r="751">
      <c r="A751" s="48"/>
      <c r="C751" s="60"/>
    </row>
    <row r="752">
      <c r="A752" s="48"/>
      <c r="C752" s="60"/>
    </row>
    <row r="753">
      <c r="A753" s="48"/>
      <c r="C753" s="60"/>
    </row>
    <row r="754">
      <c r="A754" s="48"/>
      <c r="C754" s="60"/>
    </row>
    <row r="755">
      <c r="A755" s="48"/>
      <c r="C755" s="60"/>
    </row>
    <row r="756">
      <c r="A756" s="48"/>
      <c r="C756" s="60"/>
    </row>
    <row r="757">
      <c r="A757" s="48"/>
      <c r="C757" s="60"/>
    </row>
    <row r="758">
      <c r="A758" s="48"/>
      <c r="C758" s="60"/>
    </row>
    <row r="759">
      <c r="A759" s="48"/>
      <c r="C759" s="60"/>
    </row>
    <row r="760">
      <c r="A760" s="48"/>
      <c r="C760" s="60"/>
    </row>
    <row r="761">
      <c r="A761" s="48"/>
      <c r="C761" s="60"/>
    </row>
    <row r="762">
      <c r="A762" s="48"/>
      <c r="C762" s="60"/>
    </row>
    <row r="763">
      <c r="A763" s="48"/>
      <c r="C763" s="60"/>
    </row>
    <row r="764">
      <c r="A764" s="48"/>
      <c r="C764" s="60"/>
    </row>
    <row r="765">
      <c r="A765" s="48"/>
      <c r="C765" s="60"/>
    </row>
    <row r="766">
      <c r="A766" s="48"/>
      <c r="C766" s="60"/>
    </row>
    <row r="767">
      <c r="A767" s="48"/>
      <c r="C767" s="60"/>
    </row>
    <row r="768">
      <c r="A768" s="48"/>
      <c r="C768" s="60"/>
    </row>
    <row r="769">
      <c r="A769" s="48"/>
      <c r="C769" s="60"/>
    </row>
    <row r="770">
      <c r="A770" s="48"/>
      <c r="C770" s="60"/>
    </row>
    <row r="771">
      <c r="A771" s="48"/>
      <c r="C771" s="60"/>
    </row>
    <row r="772">
      <c r="A772" s="48"/>
      <c r="C772" s="60"/>
    </row>
    <row r="773">
      <c r="A773" s="48"/>
      <c r="C773" s="60"/>
    </row>
    <row r="774">
      <c r="A774" s="48"/>
      <c r="C774" s="60"/>
    </row>
    <row r="775">
      <c r="A775" s="48"/>
      <c r="C775" s="60"/>
    </row>
    <row r="776">
      <c r="A776" s="48"/>
      <c r="C776" s="60"/>
    </row>
    <row r="777">
      <c r="A777" s="48"/>
      <c r="C777" s="60"/>
    </row>
    <row r="778">
      <c r="A778" s="48"/>
      <c r="C778" s="60"/>
    </row>
    <row r="779">
      <c r="A779" s="48"/>
      <c r="C779" s="60"/>
    </row>
    <row r="780">
      <c r="A780" s="48"/>
      <c r="C780" s="60"/>
    </row>
    <row r="781">
      <c r="A781" s="48"/>
      <c r="C781" s="60"/>
    </row>
    <row r="782">
      <c r="A782" s="48"/>
      <c r="C782" s="60"/>
    </row>
    <row r="783">
      <c r="A783" s="48"/>
      <c r="C783" s="60"/>
    </row>
    <row r="784">
      <c r="A784" s="48"/>
      <c r="C784" s="60"/>
    </row>
    <row r="785">
      <c r="A785" s="48"/>
      <c r="C785" s="60"/>
    </row>
    <row r="786">
      <c r="A786" s="48"/>
      <c r="C786" s="60"/>
    </row>
    <row r="787">
      <c r="A787" s="48"/>
      <c r="C787" s="60"/>
    </row>
    <row r="788">
      <c r="A788" s="48"/>
      <c r="C788" s="60"/>
    </row>
    <row r="789">
      <c r="A789" s="48"/>
      <c r="C789" s="60"/>
    </row>
    <row r="790">
      <c r="A790" s="48"/>
      <c r="C790" s="60"/>
    </row>
    <row r="791">
      <c r="A791" s="48"/>
      <c r="C791" s="60"/>
    </row>
    <row r="792">
      <c r="A792" s="48"/>
      <c r="C792" s="60"/>
    </row>
    <row r="793">
      <c r="A793" s="48"/>
      <c r="C793" s="60"/>
    </row>
    <row r="794">
      <c r="A794" s="48"/>
      <c r="C794" s="60"/>
    </row>
    <row r="795">
      <c r="A795" s="48"/>
      <c r="C795" s="60"/>
    </row>
    <row r="796">
      <c r="A796" s="48"/>
      <c r="C796" s="60"/>
    </row>
    <row r="797">
      <c r="A797" s="48"/>
      <c r="C797" s="60"/>
    </row>
    <row r="798">
      <c r="A798" s="48"/>
      <c r="C798" s="60"/>
    </row>
    <row r="799">
      <c r="A799" s="48"/>
      <c r="C799" s="60"/>
    </row>
    <row r="800">
      <c r="A800" s="48"/>
      <c r="C800" s="60"/>
    </row>
    <row r="801">
      <c r="A801" s="48"/>
      <c r="C801" s="60"/>
    </row>
    <row r="802">
      <c r="A802" s="48"/>
      <c r="C802" s="60"/>
    </row>
    <row r="803">
      <c r="A803" s="48"/>
      <c r="C803" s="60"/>
    </row>
    <row r="804">
      <c r="A804" s="48"/>
      <c r="C804" s="60"/>
    </row>
    <row r="805">
      <c r="A805" s="48"/>
      <c r="C805" s="60"/>
    </row>
    <row r="806">
      <c r="A806" s="48"/>
      <c r="C806" s="60"/>
    </row>
    <row r="807">
      <c r="A807" s="48"/>
      <c r="C807" s="60"/>
    </row>
    <row r="808">
      <c r="A808" s="48"/>
      <c r="C808" s="60"/>
    </row>
    <row r="809">
      <c r="A809" s="48"/>
      <c r="C809" s="60"/>
    </row>
    <row r="810">
      <c r="A810" s="48"/>
      <c r="C810" s="60"/>
    </row>
    <row r="811">
      <c r="A811" s="48"/>
      <c r="C811" s="60"/>
    </row>
    <row r="812">
      <c r="A812" s="48"/>
      <c r="C812" s="60"/>
    </row>
    <row r="813">
      <c r="A813" s="48"/>
      <c r="C813" s="60"/>
    </row>
    <row r="814">
      <c r="A814" s="48"/>
      <c r="C814" s="60"/>
    </row>
    <row r="815">
      <c r="A815" s="48"/>
      <c r="C815" s="60"/>
    </row>
    <row r="816">
      <c r="A816" s="48"/>
      <c r="C816" s="60"/>
    </row>
    <row r="817">
      <c r="A817" s="48"/>
      <c r="C817" s="60"/>
    </row>
    <row r="818">
      <c r="A818" s="48"/>
      <c r="C818" s="60"/>
    </row>
    <row r="819">
      <c r="A819" s="48"/>
      <c r="C819" s="60"/>
    </row>
    <row r="820">
      <c r="A820" s="48"/>
      <c r="C820" s="60"/>
    </row>
    <row r="821">
      <c r="A821" s="48"/>
      <c r="C821" s="60"/>
    </row>
    <row r="822">
      <c r="A822" s="48"/>
      <c r="C822" s="60"/>
    </row>
    <row r="823">
      <c r="A823" s="48"/>
      <c r="C823" s="60"/>
    </row>
    <row r="824">
      <c r="A824" s="48"/>
      <c r="C824" s="60"/>
    </row>
    <row r="825">
      <c r="A825" s="48"/>
      <c r="C825" s="60"/>
    </row>
    <row r="826">
      <c r="A826" s="48"/>
      <c r="C826" s="60"/>
    </row>
    <row r="827">
      <c r="A827" s="48"/>
      <c r="C827" s="60"/>
    </row>
    <row r="828">
      <c r="A828" s="48"/>
      <c r="C828" s="60"/>
    </row>
    <row r="829">
      <c r="A829" s="48"/>
      <c r="C829" s="60"/>
    </row>
    <row r="830">
      <c r="A830" s="48"/>
      <c r="C830" s="60"/>
    </row>
    <row r="831">
      <c r="A831" s="48"/>
      <c r="C831" s="60"/>
    </row>
    <row r="832">
      <c r="A832" s="48"/>
      <c r="C832" s="60"/>
    </row>
    <row r="833">
      <c r="A833" s="48"/>
      <c r="C833" s="60"/>
    </row>
    <row r="834">
      <c r="A834" s="48"/>
      <c r="C834" s="60"/>
    </row>
    <row r="835">
      <c r="A835" s="48"/>
      <c r="C835" s="60"/>
    </row>
    <row r="836">
      <c r="A836" s="48"/>
      <c r="C836" s="60"/>
    </row>
    <row r="837">
      <c r="A837" s="48"/>
      <c r="C837" s="60"/>
    </row>
    <row r="838">
      <c r="A838" s="48"/>
      <c r="C838" s="60"/>
    </row>
    <row r="839">
      <c r="A839" s="48"/>
      <c r="C839" s="60"/>
    </row>
    <row r="840">
      <c r="A840" s="48"/>
      <c r="C840" s="60"/>
    </row>
    <row r="841">
      <c r="A841" s="48"/>
      <c r="C841" s="60"/>
    </row>
    <row r="842">
      <c r="A842" s="48"/>
      <c r="C842" s="60"/>
    </row>
    <row r="843">
      <c r="A843" s="48"/>
      <c r="C843" s="60"/>
    </row>
    <row r="844">
      <c r="A844" s="48"/>
      <c r="C844" s="60"/>
    </row>
    <row r="845">
      <c r="A845" s="48"/>
      <c r="C845" s="60"/>
    </row>
    <row r="846">
      <c r="A846" s="48"/>
      <c r="C846" s="60"/>
    </row>
    <row r="847">
      <c r="A847" s="48"/>
      <c r="C847" s="60"/>
    </row>
    <row r="848">
      <c r="A848" s="48"/>
      <c r="C848" s="60"/>
    </row>
    <row r="849">
      <c r="A849" s="48"/>
      <c r="C849" s="60"/>
    </row>
    <row r="850">
      <c r="A850" s="48"/>
      <c r="C850" s="60"/>
    </row>
    <row r="851">
      <c r="A851" s="48"/>
      <c r="C851" s="60"/>
    </row>
    <row r="852">
      <c r="A852" s="48"/>
      <c r="C852" s="60"/>
    </row>
    <row r="853">
      <c r="A853" s="48"/>
      <c r="C853" s="60"/>
    </row>
    <row r="854">
      <c r="A854" s="48"/>
      <c r="C854" s="60"/>
    </row>
    <row r="855">
      <c r="A855" s="48"/>
      <c r="C855" s="60"/>
    </row>
    <row r="856">
      <c r="A856" s="48"/>
      <c r="C856" s="60"/>
    </row>
    <row r="857">
      <c r="A857" s="48"/>
      <c r="C857" s="60"/>
    </row>
    <row r="858">
      <c r="A858" s="48"/>
      <c r="C858" s="60"/>
    </row>
    <row r="859">
      <c r="A859" s="48"/>
      <c r="C859" s="60"/>
    </row>
    <row r="860">
      <c r="A860" s="48"/>
      <c r="C860" s="60"/>
    </row>
    <row r="861">
      <c r="A861" s="48"/>
      <c r="C861" s="60"/>
    </row>
    <row r="862">
      <c r="A862" s="48"/>
      <c r="C862" s="60"/>
    </row>
    <row r="863">
      <c r="A863" s="48"/>
      <c r="C863" s="60"/>
    </row>
    <row r="864">
      <c r="A864" s="48"/>
      <c r="C864" s="60"/>
    </row>
    <row r="865">
      <c r="A865" s="48"/>
      <c r="C865" s="60"/>
    </row>
    <row r="866">
      <c r="A866" s="48"/>
      <c r="C866" s="60"/>
    </row>
    <row r="867">
      <c r="A867" s="48"/>
      <c r="C867" s="60"/>
    </row>
    <row r="868">
      <c r="A868" s="48"/>
      <c r="C868" s="60"/>
    </row>
    <row r="869">
      <c r="A869" s="48"/>
      <c r="C869" s="60"/>
    </row>
    <row r="870">
      <c r="A870" s="48"/>
      <c r="C870" s="60"/>
    </row>
    <row r="871">
      <c r="A871" s="48"/>
      <c r="C871" s="60"/>
    </row>
    <row r="872">
      <c r="A872" s="48"/>
      <c r="C872" s="60"/>
    </row>
    <row r="873">
      <c r="A873" s="48"/>
      <c r="C873" s="60"/>
    </row>
    <row r="874">
      <c r="A874" s="48"/>
      <c r="C874" s="60"/>
    </row>
    <row r="875">
      <c r="A875" s="48"/>
      <c r="C875" s="60"/>
    </row>
    <row r="876">
      <c r="A876" s="48"/>
      <c r="C876" s="60"/>
    </row>
    <row r="877">
      <c r="A877" s="48"/>
      <c r="C877" s="60"/>
    </row>
    <row r="878">
      <c r="A878" s="48"/>
      <c r="C878" s="60"/>
    </row>
    <row r="879">
      <c r="A879" s="48"/>
      <c r="C879" s="60"/>
    </row>
    <row r="880">
      <c r="A880" s="48"/>
      <c r="C880" s="60"/>
    </row>
    <row r="881">
      <c r="A881" s="48"/>
      <c r="C881" s="60"/>
    </row>
    <row r="882">
      <c r="A882" s="48"/>
      <c r="C882" s="60"/>
    </row>
    <row r="883">
      <c r="A883" s="48"/>
      <c r="C883" s="60"/>
    </row>
    <row r="884">
      <c r="A884" s="48"/>
      <c r="C884" s="60"/>
    </row>
    <row r="885">
      <c r="A885" s="48"/>
      <c r="C885" s="60"/>
    </row>
    <row r="886">
      <c r="A886" s="48"/>
      <c r="C886" s="60"/>
    </row>
    <row r="887">
      <c r="A887" s="48"/>
      <c r="C887" s="60"/>
    </row>
    <row r="888">
      <c r="A888" s="48"/>
      <c r="C888" s="60"/>
    </row>
    <row r="889">
      <c r="A889" s="48"/>
      <c r="C889" s="60"/>
    </row>
    <row r="890">
      <c r="A890" s="48"/>
      <c r="C890" s="60"/>
    </row>
    <row r="891">
      <c r="A891" s="48"/>
      <c r="C891" s="60"/>
    </row>
    <row r="892">
      <c r="A892" s="48"/>
      <c r="C892" s="60"/>
    </row>
    <row r="893">
      <c r="A893" s="48"/>
      <c r="C893" s="60"/>
    </row>
    <row r="894">
      <c r="A894" s="48"/>
      <c r="C894" s="60"/>
    </row>
    <row r="895">
      <c r="A895" s="48"/>
      <c r="C895" s="60"/>
    </row>
    <row r="896">
      <c r="A896" s="48"/>
      <c r="C896" s="60"/>
    </row>
    <row r="897">
      <c r="A897" s="48"/>
      <c r="C897" s="60"/>
    </row>
    <row r="898">
      <c r="A898" s="48"/>
      <c r="C898" s="60"/>
    </row>
    <row r="899">
      <c r="A899" s="48"/>
      <c r="C899" s="60"/>
    </row>
    <row r="900">
      <c r="A900" s="48"/>
      <c r="C900" s="60"/>
    </row>
    <row r="901">
      <c r="A901" s="48"/>
      <c r="C901" s="60"/>
    </row>
    <row r="902">
      <c r="A902" s="48"/>
      <c r="C902" s="60"/>
    </row>
    <row r="903">
      <c r="A903" s="48"/>
      <c r="C903" s="60"/>
    </row>
    <row r="904">
      <c r="A904" s="48"/>
      <c r="C904" s="60"/>
    </row>
    <row r="905">
      <c r="A905" s="48"/>
      <c r="C905" s="60"/>
    </row>
    <row r="906">
      <c r="A906" s="48"/>
      <c r="C906" s="60"/>
    </row>
    <row r="907">
      <c r="A907" s="48"/>
      <c r="C907" s="60"/>
    </row>
    <row r="908">
      <c r="A908" s="48"/>
      <c r="C908" s="60"/>
    </row>
    <row r="909">
      <c r="A909" s="48"/>
      <c r="C909" s="60"/>
    </row>
    <row r="910">
      <c r="A910" s="48"/>
      <c r="C910" s="60"/>
    </row>
    <row r="911">
      <c r="A911" s="48"/>
      <c r="C911" s="60"/>
    </row>
    <row r="912">
      <c r="A912" s="48"/>
      <c r="C912" s="60"/>
    </row>
    <row r="913">
      <c r="A913" s="48"/>
      <c r="C913" s="60"/>
    </row>
    <row r="914">
      <c r="A914" s="48"/>
      <c r="C914" s="60"/>
    </row>
    <row r="915">
      <c r="A915" s="48"/>
      <c r="C915" s="60"/>
    </row>
    <row r="916">
      <c r="A916" s="48"/>
      <c r="C916" s="60"/>
    </row>
    <row r="917">
      <c r="A917" s="48"/>
      <c r="C917" s="60"/>
    </row>
    <row r="918">
      <c r="A918" s="48"/>
      <c r="C918" s="60"/>
    </row>
    <row r="919">
      <c r="A919" s="48"/>
      <c r="C919" s="60"/>
    </row>
    <row r="920">
      <c r="A920" s="48"/>
      <c r="C920" s="60"/>
    </row>
    <row r="921">
      <c r="A921" s="48"/>
      <c r="C921" s="60"/>
    </row>
    <row r="922">
      <c r="A922" s="48"/>
      <c r="C922" s="60"/>
    </row>
    <row r="923">
      <c r="A923" s="48"/>
      <c r="C923" s="60"/>
    </row>
    <row r="924">
      <c r="A924" s="48"/>
      <c r="C924" s="60"/>
    </row>
    <row r="925">
      <c r="A925" s="48"/>
      <c r="C925" s="60"/>
    </row>
    <row r="926">
      <c r="A926" s="48"/>
      <c r="C926" s="60"/>
    </row>
    <row r="927">
      <c r="A927" s="48"/>
      <c r="C927" s="60"/>
    </row>
    <row r="928">
      <c r="A928" s="48"/>
      <c r="C928" s="60"/>
    </row>
    <row r="929">
      <c r="A929" s="48"/>
      <c r="C929" s="60"/>
    </row>
    <row r="930">
      <c r="A930" s="48"/>
      <c r="C930" s="60"/>
    </row>
    <row r="931">
      <c r="A931" s="48"/>
      <c r="C931" s="60"/>
    </row>
    <row r="932">
      <c r="A932" s="48"/>
      <c r="C932" s="60"/>
    </row>
    <row r="933">
      <c r="A933" s="48"/>
      <c r="C933" s="60"/>
    </row>
    <row r="934">
      <c r="A934" s="48"/>
      <c r="C934" s="60"/>
    </row>
    <row r="935">
      <c r="A935" s="48"/>
      <c r="C935" s="60"/>
    </row>
    <row r="936">
      <c r="A936" s="48"/>
      <c r="C936" s="60"/>
    </row>
    <row r="937">
      <c r="A937" s="48"/>
      <c r="C937" s="60"/>
    </row>
    <row r="938">
      <c r="A938" s="48"/>
      <c r="C938" s="60"/>
    </row>
    <row r="939">
      <c r="A939" s="48"/>
      <c r="C939" s="60"/>
    </row>
    <row r="940">
      <c r="A940" s="48"/>
      <c r="C940" s="60"/>
    </row>
    <row r="941">
      <c r="A941" s="48"/>
      <c r="C941" s="60"/>
    </row>
    <row r="942">
      <c r="A942" s="48"/>
      <c r="C942" s="60"/>
    </row>
    <row r="943">
      <c r="A943" s="48"/>
      <c r="C943" s="60"/>
    </row>
    <row r="944">
      <c r="A944" s="48"/>
      <c r="C944" s="60"/>
    </row>
    <row r="945">
      <c r="A945" s="48"/>
      <c r="C945" s="60"/>
    </row>
    <row r="946">
      <c r="A946" s="48"/>
      <c r="C946" s="60"/>
    </row>
    <row r="947">
      <c r="A947" s="48"/>
      <c r="C947" s="60"/>
    </row>
    <row r="948">
      <c r="A948" s="48"/>
      <c r="C948" s="60"/>
    </row>
    <row r="949">
      <c r="A949" s="48"/>
      <c r="C949" s="60"/>
    </row>
    <row r="950">
      <c r="A950" s="48"/>
      <c r="C950" s="60"/>
    </row>
    <row r="951">
      <c r="A951" s="48"/>
      <c r="C951" s="60"/>
    </row>
    <row r="952">
      <c r="A952" s="48"/>
      <c r="C952" s="60"/>
    </row>
    <row r="953">
      <c r="A953" s="48"/>
      <c r="C953" s="60"/>
    </row>
    <row r="954">
      <c r="A954" s="48"/>
      <c r="C954" s="60"/>
    </row>
    <row r="955">
      <c r="A955" s="48"/>
      <c r="C955" s="60"/>
    </row>
    <row r="956">
      <c r="A956" s="48"/>
      <c r="C956" s="60"/>
    </row>
    <row r="957">
      <c r="A957" s="48"/>
      <c r="C957" s="60"/>
    </row>
    <row r="958">
      <c r="A958" s="48"/>
      <c r="C958" s="60"/>
    </row>
    <row r="959">
      <c r="A959" s="48"/>
      <c r="C959" s="60"/>
    </row>
    <row r="960">
      <c r="A960" s="48"/>
      <c r="C960" s="60"/>
    </row>
    <row r="961">
      <c r="A961" s="48"/>
      <c r="C961" s="60"/>
    </row>
    <row r="962">
      <c r="A962" s="48"/>
      <c r="C962" s="60"/>
    </row>
    <row r="963">
      <c r="A963" s="48"/>
      <c r="C963" s="60"/>
    </row>
    <row r="964">
      <c r="A964" s="48"/>
      <c r="C964" s="60"/>
    </row>
    <row r="965">
      <c r="A965" s="48"/>
      <c r="C965" s="60"/>
    </row>
    <row r="966">
      <c r="A966" s="48"/>
      <c r="C966" s="60"/>
    </row>
    <row r="967">
      <c r="A967" s="48"/>
      <c r="C967" s="60"/>
    </row>
    <row r="968">
      <c r="A968" s="48"/>
      <c r="C968" s="60"/>
    </row>
    <row r="969">
      <c r="A969" s="48"/>
      <c r="C969" s="60"/>
    </row>
    <row r="970">
      <c r="A970" s="48"/>
      <c r="C970" s="60"/>
    </row>
    <row r="971">
      <c r="A971" s="48"/>
      <c r="C971" s="60"/>
    </row>
    <row r="972">
      <c r="A972" s="48"/>
      <c r="C972" s="60"/>
    </row>
    <row r="973">
      <c r="A973" s="48"/>
      <c r="C973" s="60"/>
    </row>
    <row r="974">
      <c r="A974" s="48"/>
      <c r="C974" s="60"/>
    </row>
    <row r="975">
      <c r="A975" s="48"/>
      <c r="C975" s="60"/>
    </row>
    <row r="976">
      <c r="A976" s="48"/>
      <c r="C976" s="60"/>
    </row>
    <row r="977">
      <c r="A977" s="48"/>
      <c r="C977" s="60"/>
    </row>
    <row r="978">
      <c r="A978" s="48"/>
      <c r="C978" s="60"/>
    </row>
    <row r="979">
      <c r="A979" s="48"/>
      <c r="C979" s="60"/>
    </row>
    <row r="980">
      <c r="A980" s="48"/>
      <c r="C980" s="60"/>
    </row>
    <row r="981">
      <c r="A981" s="48"/>
      <c r="C981" s="60"/>
    </row>
    <row r="982">
      <c r="A982" s="48"/>
      <c r="C982" s="60"/>
    </row>
    <row r="983">
      <c r="A983" s="48"/>
      <c r="C983" s="60"/>
    </row>
    <row r="984">
      <c r="A984" s="48"/>
      <c r="C984" s="60"/>
    </row>
    <row r="985">
      <c r="A985" s="48"/>
      <c r="C985" s="60"/>
    </row>
    <row r="986">
      <c r="A986" s="48"/>
      <c r="C986" s="60"/>
    </row>
    <row r="987">
      <c r="A987" s="48"/>
      <c r="C987" s="60"/>
    </row>
    <row r="988">
      <c r="A988" s="48"/>
      <c r="C988" s="60"/>
    </row>
    <row r="989">
      <c r="A989" s="48"/>
      <c r="C989" s="60"/>
    </row>
    <row r="990">
      <c r="A990" s="48"/>
      <c r="C990" s="60"/>
    </row>
    <row r="991">
      <c r="A991" s="48"/>
      <c r="C991" s="60"/>
    </row>
    <row r="992">
      <c r="A992" s="48"/>
      <c r="C992" s="60"/>
    </row>
    <row r="993">
      <c r="A993" s="48"/>
      <c r="C993" s="60"/>
    </row>
    <row r="994">
      <c r="A994" s="48"/>
      <c r="C994" s="60"/>
    </row>
    <row r="995">
      <c r="A995" s="48"/>
      <c r="C995" s="60"/>
    </row>
    <row r="996">
      <c r="A996" s="48"/>
      <c r="C996" s="60"/>
    </row>
    <row r="997">
      <c r="A997" s="48"/>
      <c r="C997" s="60"/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75"/>
    <col customWidth="1" min="2" max="2" width="13.63"/>
    <col customWidth="1" min="3" max="3" width="14.63"/>
    <col customWidth="1" min="4" max="4" width="12.63"/>
    <col customWidth="1" min="5" max="5" width="16.25"/>
    <col customWidth="1" min="6" max="6" width="13.5"/>
    <col customWidth="1" min="7" max="7" width="32.75"/>
    <col customWidth="1" min="8" max="8" width="12.25"/>
    <col customWidth="1" min="12" max="12" width="10.75"/>
    <col customWidth="1" min="13" max="13" width="30.0"/>
    <col customWidth="1" min="15" max="15" width="35.5"/>
  </cols>
  <sheetData>
    <row r="1">
      <c r="A1" s="555" t="s">
        <v>1033</v>
      </c>
      <c r="B1" s="555" t="s">
        <v>1034</v>
      </c>
      <c r="C1" s="555" t="s">
        <v>1035</v>
      </c>
      <c r="D1" s="556" t="s">
        <v>1036</v>
      </c>
      <c r="E1" s="557" t="s">
        <v>1037</v>
      </c>
      <c r="F1" s="555" t="s">
        <v>1038</v>
      </c>
      <c r="G1" s="555" t="s">
        <v>1039</v>
      </c>
      <c r="H1" s="555" t="s">
        <v>1040</v>
      </c>
      <c r="I1" s="555" t="s">
        <v>1041</v>
      </c>
      <c r="J1" s="555" t="s">
        <v>1042</v>
      </c>
      <c r="K1" s="555" t="s">
        <v>1043</v>
      </c>
      <c r="L1" s="555" t="s">
        <v>1044</v>
      </c>
      <c r="M1" s="555" t="s">
        <v>1045</v>
      </c>
      <c r="N1" s="555" t="s">
        <v>1046</v>
      </c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</row>
    <row r="2">
      <c r="A2" s="558" t="s">
        <v>1047</v>
      </c>
      <c r="B2" s="559">
        <v>45140.0</v>
      </c>
      <c r="C2" s="560">
        <v>45137.518055555556</v>
      </c>
      <c r="D2" s="561">
        <v>-40.32</v>
      </c>
      <c r="E2" s="558" t="s">
        <v>1048</v>
      </c>
      <c r="F2" s="558" t="s">
        <v>1049</v>
      </c>
      <c r="G2" s="558" t="s">
        <v>1050</v>
      </c>
      <c r="H2" s="558" t="s">
        <v>1051</v>
      </c>
      <c r="I2" s="558" t="s">
        <v>1052</v>
      </c>
      <c r="J2" s="558" t="s">
        <v>1053</v>
      </c>
      <c r="K2" s="558"/>
      <c r="L2" s="562" t="s">
        <v>1054</v>
      </c>
      <c r="M2" s="558" t="s">
        <v>1055</v>
      </c>
      <c r="N2" s="563" t="s">
        <v>1056</v>
      </c>
      <c r="O2" s="558"/>
      <c r="P2" s="558"/>
      <c r="Q2" s="55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>
      <c r="A3" s="558" t="s">
        <v>1057</v>
      </c>
      <c r="B3" s="559">
        <v>45149.0</v>
      </c>
      <c r="C3" s="560">
        <v>45148.80902777778</v>
      </c>
      <c r="D3" s="561">
        <v>-125.0</v>
      </c>
      <c r="E3" s="558" t="s">
        <v>1048</v>
      </c>
      <c r="F3" s="558" t="s">
        <v>1049</v>
      </c>
      <c r="G3" s="558" t="s">
        <v>1050</v>
      </c>
      <c r="H3" s="558" t="s">
        <v>1051</v>
      </c>
      <c r="I3" s="558" t="s">
        <v>1052</v>
      </c>
      <c r="J3" s="558" t="s">
        <v>1053</v>
      </c>
      <c r="K3" s="558"/>
      <c r="L3" s="562" t="s">
        <v>1054</v>
      </c>
      <c r="M3" s="558"/>
      <c r="N3" s="563" t="s">
        <v>1058</v>
      </c>
      <c r="O3" s="558"/>
      <c r="P3" s="558"/>
      <c r="Q3" s="55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>
      <c r="A4" s="558" t="s">
        <v>1047</v>
      </c>
      <c r="B4" s="559">
        <v>45156.0</v>
      </c>
      <c r="C4" s="560">
        <v>45154.85208333333</v>
      </c>
      <c r="D4" s="561">
        <v>-42.28</v>
      </c>
      <c r="E4" s="558" t="s">
        <v>1048</v>
      </c>
      <c r="F4" s="558" t="s">
        <v>1049</v>
      </c>
      <c r="G4" s="558" t="s">
        <v>1050</v>
      </c>
      <c r="H4" s="558" t="s">
        <v>1051</v>
      </c>
      <c r="I4" s="558" t="s">
        <v>1052</v>
      </c>
      <c r="J4" s="558" t="s">
        <v>1053</v>
      </c>
      <c r="K4" s="558"/>
      <c r="L4" s="562" t="s">
        <v>1054</v>
      </c>
      <c r="M4" s="558"/>
      <c r="N4" s="563" t="s">
        <v>1059</v>
      </c>
      <c r="O4" s="558"/>
      <c r="P4" s="558"/>
      <c r="Q4" s="55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>
      <c r="A5" s="558" t="s">
        <v>1060</v>
      </c>
      <c r="B5" s="559">
        <v>45157.0</v>
      </c>
      <c r="C5" s="560">
        <v>45154.86597222222</v>
      </c>
      <c r="D5" s="561">
        <v>-557.45</v>
      </c>
      <c r="E5" s="558" t="s">
        <v>1048</v>
      </c>
      <c r="F5" s="558" t="s">
        <v>1049</v>
      </c>
      <c r="G5" s="558" t="s">
        <v>1050</v>
      </c>
      <c r="H5" s="558" t="s">
        <v>1051</v>
      </c>
      <c r="I5" s="558" t="s">
        <v>1052</v>
      </c>
      <c r="J5" s="558" t="s">
        <v>1053</v>
      </c>
      <c r="K5" s="558"/>
      <c r="L5" s="562" t="s">
        <v>1054</v>
      </c>
      <c r="M5" s="558"/>
      <c r="N5" s="563" t="s">
        <v>1061</v>
      </c>
      <c r="O5" s="558"/>
      <c r="P5" s="558"/>
      <c r="Q5" s="55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>
      <c r="A6" s="558" t="s">
        <v>1062</v>
      </c>
      <c r="B6" s="559">
        <v>45157.0</v>
      </c>
      <c r="C6" s="560">
        <v>45156.68958333333</v>
      </c>
      <c r="D6" s="561">
        <v>-216.32</v>
      </c>
      <c r="E6" s="558" t="s">
        <v>1048</v>
      </c>
      <c r="F6" s="558" t="s">
        <v>1049</v>
      </c>
      <c r="G6" s="558" t="s">
        <v>1050</v>
      </c>
      <c r="H6" s="558" t="s">
        <v>1051</v>
      </c>
      <c r="I6" s="558" t="s">
        <v>1052</v>
      </c>
      <c r="J6" s="558" t="s">
        <v>1053</v>
      </c>
      <c r="K6" s="558"/>
      <c r="L6" s="562" t="s">
        <v>1054</v>
      </c>
      <c r="M6" s="558"/>
      <c r="N6" s="563" t="s">
        <v>1063</v>
      </c>
      <c r="O6" s="558"/>
      <c r="P6" s="558"/>
      <c r="Q6" s="55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>
      <c r="A7" s="558" t="s">
        <v>1064</v>
      </c>
      <c r="B7" s="559">
        <v>45165.0</v>
      </c>
      <c r="C7" s="560">
        <v>45165.683333333334</v>
      </c>
      <c r="D7" s="561">
        <v>-16.34</v>
      </c>
      <c r="E7" s="558" t="s">
        <v>1048</v>
      </c>
      <c r="F7" s="558" t="s">
        <v>1049</v>
      </c>
      <c r="G7" s="558" t="s">
        <v>1050</v>
      </c>
      <c r="H7" s="558" t="s">
        <v>1051</v>
      </c>
      <c r="I7" s="558" t="s">
        <v>1052</v>
      </c>
      <c r="J7" s="558" t="s">
        <v>1053</v>
      </c>
      <c r="K7" s="558"/>
      <c r="L7" s="562" t="s">
        <v>1054</v>
      </c>
      <c r="M7" s="558"/>
      <c r="N7" s="563" t="s">
        <v>1065</v>
      </c>
      <c r="O7" s="558"/>
      <c r="P7" s="558"/>
      <c r="Q7" s="55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>
      <c r="A8" s="558" t="s">
        <v>1066</v>
      </c>
      <c r="B8" s="559">
        <v>45168.0</v>
      </c>
      <c r="C8" s="560">
        <v>45166.55972222222</v>
      </c>
      <c r="D8" s="561">
        <v>-19.99</v>
      </c>
      <c r="E8" s="558" t="s">
        <v>1048</v>
      </c>
      <c r="F8" s="558" t="s">
        <v>1049</v>
      </c>
      <c r="G8" s="558" t="s">
        <v>1050</v>
      </c>
      <c r="H8" s="558" t="s">
        <v>1051</v>
      </c>
      <c r="I8" s="558" t="s">
        <v>1052</v>
      </c>
      <c r="J8" s="558" t="s">
        <v>1053</v>
      </c>
      <c r="K8" s="558"/>
      <c r="L8" s="562" t="s">
        <v>1054</v>
      </c>
      <c r="M8" s="558"/>
      <c r="N8" s="563" t="s">
        <v>1067</v>
      </c>
      <c r="O8" s="558"/>
      <c r="P8" s="558"/>
      <c r="Q8" s="55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>
      <c r="A9" s="558" t="s">
        <v>1068</v>
      </c>
      <c r="B9" s="559">
        <v>45168.0</v>
      </c>
      <c r="C9" s="560">
        <v>45167.71666666667</v>
      </c>
      <c r="D9" s="561">
        <v>-7.68</v>
      </c>
      <c r="E9" s="558" t="s">
        <v>1048</v>
      </c>
      <c r="F9" s="558" t="s">
        <v>1049</v>
      </c>
      <c r="G9" s="558" t="s">
        <v>1050</v>
      </c>
      <c r="H9" s="558" t="s">
        <v>1051</v>
      </c>
      <c r="I9" s="558" t="s">
        <v>1052</v>
      </c>
      <c r="J9" s="558" t="s">
        <v>1053</v>
      </c>
      <c r="K9" s="558"/>
      <c r="L9" s="562" t="s">
        <v>1054</v>
      </c>
      <c r="M9" s="558"/>
      <c r="N9" s="563" t="s">
        <v>1069</v>
      </c>
      <c r="O9" s="558"/>
      <c r="P9" s="558"/>
      <c r="Q9" s="55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>
      <c r="A10" s="558" t="s">
        <v>1070</v>
      </c>
      <c r="B10" s="559">
        <v>45143.0</v>
      </c>
      <c r="C10" s="560">
        <v>45142.893055555556</v>
      </c>
      <c r="D10" s="561">
        <v>-24.11</v>
      </c>
      <c r="E10" s="558" t="s">
        <v>1071</v>
      </c>
      <c r="F10" s="558" t="s">
        <v>1072</v>
      </c>
      <c r="G10" s="558" t="s">
        <v>1073</v>
      </c>
      <c r="H10" s="558" t="s">
        <v>1051</v>
      </c>
      <c r="I10" s="558" t="s">
        <v>1074</v>
      </c>
      <c r="J10" s="558" t="s">
        <v>1075</v>
      </c>
      <c r="K10" s="558" t="s">
        <v>1076</v>
      </c>
      <c r="L10" s="562" t="s">
        <v>1077</v>
      </c>
      <c r="M10" s="558" t="s">
        <v>1078</v>
      </c>
      <c r="N10" s="563" t="s">
        <v>1079</v>
      </c>
      <c r="O10" s="558"/>
      <c r="P10" s="558"/>
      <c r="Q10" s="55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>
      <c r="A11" s="558" t="s">
        <v>1080</v>
      </c>
      <c r="B11" s="559">
        <v>45143.0</v>
      </c>
      <c r="C11" s="560">
        <v>45143.09444444445</v>
      </c>
      <c r="D11" s="561">
        <v>-25.0</v>
      </c>
      <c r="E11" s="558" t="s">
        <v>1071</v>
      </c>
      <c r="F11" s="558" t="s">
        <v>1072</v>
      </c>
      <c r="G11" s="558" t="s">
        <v>1073</v>
      </c>
      <c r="H11" s="558" t="s">
        <v>1051</v>
      </c>
      <c r="I11" s="558" t="s">
        <v>1074</v>
      </c>
      <c r="J11" s="558" t="s">
        <v>1075</v>
      </c>
      <c r="K11" s="558" t="s">
        <v>1076</v>
      </c>
      <c r="L11" s="562" t="s">
        <v>1077</v>
      </c>
      <c r="M11" s="558" t="s">
        <v>1081</v>
      </c>
      <c r="N11" s="563" t="s">
        <v>1082</v>
      </c>
      <c r="O11" s="558"/>
      <c r="P11" s="558"/>
      <c r="Q11" s="55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2">
      <c r="A12" s="558" t="s">
        <v>1080</v>
      </c>
      <c r="B12" s="559">
        <v>45143.0</v>
      </c>
      <c r="C12" s="560">
        <v>45143.11388888889</v>
      </c>
      <c r="D12" s="561">
        <v>-24.0</v>
      </c>
      <c r="E12" s="558" t="s">
        <v>1071</v>
      </c>
      <c r="F12" s="558" t="s">
        <v>1072</v>
      </c>
      <c r="G12" s="558" t="s">
        <v>1073</v>
      </c>
      <c r="H12" s="558" t="s">
        <v>1051</v>
      </c>
      <c r="I12" s="558" t="s">
        <v>1074</v>
      </c>
      <c r="J12" s="558" t="s">
        <v>1075</v>
      </c>
      <c r="K12" s="558" t="s">
        <v>1076</v>
      </c>
      <c r="L12" s="562" t="s">
        <v>1077</v>
      </c>
      <c r="M12" s="558" t="s">
        <v>1081</v>
      </c>
      <c r="N12" s="563" t="s">
        <v>1083</v>
      </c>
      <c r="O12" s="558"/>
      <c r="P12" s="558"/>
      <c r="Q12" s="55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>
      <c r="A13" s="558" t="s">
        <v>1080</v>
      </c>
      <c r="B13" s="559">
        <v>45143.0</v>
      </c>
      <c r="C13" s="560">
        <v>45143.143055555556</v>
      </c>
      <c r="D13" s="561">
        <v>-24.0</v>
      </c>
      <c r="E13" s="558" t="s">
        <v>1071</v>
      </c>
      <c r="F13" s="558" t="s">
        <v>1072</v>
      </c>
      <c r="G13" s="558" t="s">
        <v>1073</v>
      </c>
      <c r="H13" s="558" t="s">
        <v>1051</v>
      </c>
      <c r="I13" s="558" t="s">
        <v>1074</v>
      </c>
      <c r="J13" s="558" t="s">
        <v>1075</v>
      </c>
      <c r="K13" s="558" t="s">
        <v>1076</v>
      </c>
      <c r="L13" s="562" t="s">
        <v>1077</v>
      </c>
      <c r="M13" s="558" t="s">
        <v>1081</v>
      </c>
      <c r="N13" s="563" t="s">
        <v>1084</v>
      </c>
      <c r="O13" s="558"/>
      <c r="P13" s="558"/>
      <c r="Q13" s="55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4">
      <c r="A14" s="558" t="s">
        <v>1085</v>
      </c>
      <c r="B14" s="559">
        <v>45144.0</v>
      </c>
      <c r="C14" s="560">
        <v>45143.65694444445</v>
      </c>
      <c r="D14" s="561">
        <v>-39.9</v>
      </c>
      <c r="E14" s="558" t="s">
        <v>1071</v>
      </c>
      <c r="F14" s="558" t="s">
        <v>1072</v>
      </c>
      <c r="G14" s="558" t="s">
        <v>1073</v>
      </c>
      <c r="H14" s="558" t="s">
        <v>1051</v>
      </c>
      <c r="I14" s="558" t="s">
        <v>1074</v>
      </c>
      <c r="J14" s="558" t="s">
        <v>1075</v>
      </c>
      <c r="K14" s="558" t="s">
        <v>1076</v>
      </c>
      <c r="L14" s="562" t="s">
        <v>1077</v>
      </c>
      <c r="M14" s="558" t="s">
        <v>1086</v>
      </c>
      <c r="N14" s="563" t="s">
        <v>1087</v>
      </c>
      <c r="O14" s="558"/>
      <c r="P14" s="558"/>
      <c r="Q14" s="55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>
      <c r="A15" s="558" t="s">
        <v>1088</v>
      </c>
      <c r="B15" s="559">
        <v>45144.0</v>
      </c>
      <c r="C15" s="560">
        <v>45143.70347222222</v>
      </c>
      <c r="D15" s="561">
        <v>-67.46</v>
      </c>
      <c r="E15" s="558" t="s">
        <v>1071</v>
      </c>
      <c r="F15" s="558" t="s">
        <v>1072</v>
      </c>
      <c r="G15" s="558" t="s">
        <v>1073</v>
      </c>
      <c r="H15" s="558" t="s">
        <v>1051</v>
      </c>
      <c r="I15" s="558" t="s">
        <v>1074</v>
      </c>
      <c r="J15" s="558" t="s">
        <v>1075</v>
      </c>
      <c r="K15" s="558" t="s">
        <v>1076</v>
      </c>
      <c r="L15" s="562" t="s">
        <v>1077</v>
      </c>
      <c r="M15" s="558" t="s">
        <v>1089</v>
      </c>
      <c r="N15" s="563" t="s">
        <v>1090</v>
      </c>
      <c r="O15" s="558"/>
      <c r="P15" s="558"/>
      <c r="Q15" s="55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>
      <c r="A16" s="558" t="s">
        <v>1085</v>
      </c>
      <c r="B16" s="559">
        <v>45144.0</v>
      </c>
      <c r="C16" s="560">
        <v>45143.717361111114</v>
      </c>
      <c r="D16" s="561">
        <v>-12.76</v>
      </c>
      <c r="E16" s="558" t="s">
        <v>1071</v>
      </c>
      <c r="F16" s="558" t="s">
        <v>1072</v>
      </c>
      <c r="G16" s="558" t="s">
        <v>1073</v>
      </c>
      <c r="H16" s="558" t="s">
        <v>1051</v>
      </c>
      <c r="I16" s="558" t="s">
        <v>1074</v>
      </c>
      <c r="J16" s="558" t="s">
        <v>1075</v>
      </c>
      <c r="K16" s="558" t="s">
        <v>1076</v>
      </c>
      <c r="L16" s="562" t="s">
        <v>1077</v>
      </c>
      <c r="M16" s="558" t="s">
        <v>1086</v>
      </c>
      <c r="N16" s="563" t="s">
        <v>1091</v>
      </c>
      <c r="O16" s="558"/>
      <c r="P16" s="558"/>
      <c r="Q16" s="55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>
      <c r="A17" s="558" t="s">
        <v>1092</v>
      </c>
      <c r="B17" s="559">
        <v>45144.0</v>
      </c>
      <c r="C17" s="560">
        <v>45143.78888888889</v>
      </c>
      <c r="D17" s="561">
        <v>-67.0</v>
      </c>
      <c r="E17" s="558" t="s">
        <v>1071</v>
      </c>
      <c r="F17" s="558" t="s">
        <v>1072</v>
      </c>
      <c r="G17" s="558" t="s">
        <v>1073</v>
      </c>
      <c r="H17" s="558" t="s">
        <v>1051</v>
      </c>
      <c r="I17" s="558" t="s">
        <v>1074</v>
      </c>
      <c r="J17" s="558" t="s">
        <v>1075</v>
      </c>
      <c r="K17" s="558" t="s">
        <v>1076</v>
      </c>
      <c r="L17" s="562" t="s">
        <v>1077</v>
      </c>
      <c r="M17" s="558" t="s">
        <v>1093</v>
      </c>
      <c r="N17" s="563" t="s">
        <v>1094</v>
      </c>
      <c r="O17" s="558"/>
      <c r="P17" s="558"/>
      <c r="Q17" s="55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>
      <c r="A18" s="558" t="s">
        <v>1085</v>
      </c>
      <c r="B18" s="559">
        <v>45144.0</v>
      </c>
      <c r="C18" s="560">
        <v>45143.78958333333</v>
      </c>
      <c r="D18" s="561">
        <v>-17.41</v>
      </c>
      <c r="E18" s="558" t="s">
        <v>1071</v>
      </c>
      <c r="F18" s="558" t="s">
        <v>1072</v>
      </c>
      <c r="G18" s="558" t="s">
        <v>1073</v>
      </c>
      <c r="H18" s="558" t="s">
        <v>1051</v>
      </c>
      <c r="I18" s="558" t="s">
        <v>1074</v>
      </c>
      <c r="J18" s="558" t="s">
        <v>1075</v>
      </c>
      <c r="K18" s="558" t="s">
        <v>1076</v>
      </c>
      <c r="L18" s="562" t="s">
        <v>1077</v>
      </c>
      <c r="M18" s="558" t="s">
        <v>1086</v>
      </c>
      <c r="N18" s="563" t="s">
        <v>1095</v>
      </c>
      <c r="O18" s="558"/>
      <c r="P18" s="558"/>
      <c r="Q18" s="55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>
      <c r="A19" s="558" t="s">
        <v>1096</v>
      </c>
      <c r="B19" s="559">
        <v>45144.0</v>
      </c>
      <c r="C19" s="560">
        <v>45143.8125</v>
      </c>
      <c r="D19" s="561">
        <v>-8.17</v>
      </c>
      <c r="E19" s="558" t="s">
        <v>1071</v>
      </c>
      <c r="F19" s="558" t="s">
        <v>1072</v>
      </c>
      <c r="G19" s="558" t="s">
        <v>1073</v>
      </c>
      <c r="H19" s="558" t="s">
        <v>1051</v>
      </c>
      <c r="I19" s="558" t="s">
        <v>1074</v>
      </c>
      <c r="J19" s="558" t="s">
        <v>1075</v>
      </c>
      <c r="K19" s="558" t="s">
        <v>1076</v>
      </c>
      <c r="L19" s="562" t="s">
        <v>1077</v>
      </c>
      <c r="M19" s="558" t="s">
        <v>1097</v>
      </c>
      <c r="N19" s="563" t="s">
        <v>1098</v>
      </c>
      <c r="O19" s="558"/>
      <c r="P19" s="558"/>
      <c r="Q19" s="55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>
      <c r="A20" s="558" t="s">
        <v>1085</v>
      </c>
      <c r="B20" s="559">
        <v>45144.0</v>
      </c>
      <c r="C20" s="560">
        <v>45143.84861111111</v>
      </c>
      <c r="D20" s="561">
        <v>-40.68</v>
      </c>
      <c r="E20" s="558" t="s">
        <v>1071</v>
      </c>
      <c r="F20" s="558" t="s">
        <v>1072</v>
      </c>
      <c r="G20" s="558" t="s">
        <v>1073</v>
      </c>
      <c r="H20" s="558" t="s">
        <v>1051</v>
      </c>
      <c r="I20" s="558" t="s">
        <v>1074</v>
      </c>
      <c r="J20" s="558" t="s">
        <v>1075</v>
      </c>
      <c r="K20" s="558" t="s">
        <v>1076</v>
      </c>
      <c r="L20" s="562" t="s">
        <v>1077</v>
      </c>
      <c r="M20" s="558" t="s">
        <v>1086</v>
      </c>
      <c r="N20" s="563" t="s">
        <v>1099</v>
      </c>
      <c r="O20" s="558"/>
      <c r="P20" s="558"/>
      <c r="Q20" s="55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>
      <c r="A21" s="558" t="s">
        <v>1085</v>
      </c>
      <c r="B21" s="559">
        <v>45144.0</v>
      </c>
      <c r="C21" s="560">
        <v>45143.990277777775</v>
      </c>
      <c r="D21" s="561">
        <v>-40.72</v>
      </c>
      <c r="E21" s="558" t="s">
        <v>1071</v>
      </c>
      <c r="F21" s="558" t="s">
        <v>1072</v>
      </c>
      <c r="G21" s="558" t="s">
        <v>1073</v>
      </c>
      <c r="H21" s="558" t="s">
        <v>1051</v>
      </c>
      <c r="I21" s="558" t="s">
        <v>1074</v>
      </c>
      <c r="J21" s="558" t="s">
        <v>1075</v>
      </c>
      <c r="K21" s="558" t="s">
        <v>1076</v>
      </c>
      <c r="L21" s="562" t="s">
        <v>1077</v>
      </c>
      <c r="M21" s="558" t="s">
        <v>1086</v>
      </c>
      <c r="N21" s="563" t="s">
        <v>1100</v>
      </c>
      <c r="O21" s="558"/>
      <c r="P21" s="558"/>
      <c r="Q21" s="55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>
      <c r="A22" s="558" t="s">
        <v>1085</v>
      </c>
      <c r="B22" s="559">
        <v>45145.0</v>
      </c>
      <c r="C22" s="560">
        <v>45144.63263888889</v>
      </c>
      <c r="D22" s="561">
        <v>-15.7</v>
      </c>
      <c r="E22" s="558" t="s">
        <v>1071</v>
      </c>
      <c r="F22" s="558" t="s">
        <v>1072</v>
      </c>
      <c r="G22" s="558" t="s">
        <v>1073</v>
      </c>
      <c r="H22" s="558" t="s">
        <v>1051</v>
      </c>
      <c r="I22" s="558" t="s">
        <v>1074</v>
      </c>
      <c r="J22" s="558" t="s">
        <v>1075</v>
      </c>
      <c r="K22" s="558" t="s">
        <v>1076</v>
      </c>
      <c r="L22" s="562" t="s">
        <v>1077</v>
      </c>
      <c r="M22" s="558" t="s">
        <v>1086</v>
      </c>
      <c r="N22" s="563" t="s">
        <v>1101</v>
      </c>
      <c r="O22" s="558"/>
      <c r="P22" s="558"/>
      <c r="Q22" s="55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>
      <c r="A23" s="558" t="s">
        <v>1085</v>
      </c>
      <c r="B23" s="559">
        <v>45145.0</v>
      </c>
      <c r="C23" s="560">
        <v>45144.78055555555</v>
      </c>
      <c r="D23" s="561">
        <v>-22.89</v>
      </c>
      <c r="E23" s="558" t="s">
        <v>1071</v>
      </c>
      <c r="F23" s="558" t="s">
        <v>1072</v>
      </c>
      <c r="G23" s="558" t="s">
        <v>1073</v>
      </c>
      <c r="H23" s="558" t="s">
        <v>1051</v>
      </c>
      <c r="I23" s="558" t="s">
        <v>1074</v>
      </c>
      <c r="J23" s="558" t="s">
        <v>1075</v>
      </c>
      <c r="K23" s="558" t="s">
        <v>1076</v>
      </c>
      <c r="L23" s="562" t="s">
        <v>1077</v>
      </c>
      <c r="M23" s="558" t="s">
        <v>1086</v>
      </c>
      <c r="N23" s="563" t="s">
        <v>1102</v>
      </c>
      <c r="O23" s="558"/>
      <c r="P23" s="558"/>
      <c r="Q23" s="55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>
      <c r="A24" s="558" t="s">
        <v>1103</v>
      </c>
      <c r="B24" s="559">
        <v>45146.0</v>
      </c>
      <c r="C24" s="560">
        <v>45144.70625</v>
      </c>
      <c r="D24" s="561">
        <v>-217.66</v>
      </c>
      <c r="E24" s="558" t="s">
        <v>1071</v>
      </c>
      <c r="F24" s="558" t="s">
        <v>1072</v>
      </c>
      <c r="G24" s="558" t="s">
        <v>1073</v>
      </c>
      <c r="H24" s="558" t="s">
        <v>1051</v>
      </c>
      <c r="I24" s="558" t="s">
        <v>1074</v>
      </c>
      <c r="J24" s="558" t="s">
        <v>1075</v>
      </c>
      <c r="K24" s="558" t="s">
        <v>1076</v>
      </c>
      <c r="L24" s="562" t="s">
        <v>1077</v>
      </c>
      <c r="M24" s="558" t="s">
        <v>1104</v>
      </c>
      <c r="N24" s="563" t="s">
        <v>1105</v>
      </c>
      <c r="O24" s="558"/>
      <c r="P24" s="558"/>
      <c r="Q24" s="55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>
      <c r="A25" s="558" t="s">
        <v>1085</v>
      </c>
      <c r="B25" s="559">
        <v>45146.0</v>
      </c>
      <c r="C25" s="560">
        <v>45144.947916666664</v>
      </c>
      <c r="D25" s="561">
        <v>-21.5</v>
      </c>
      <c r="E25" s="558" t="s">
        <v>1071</v>
      </c>
      <c r="F25" s="558" t="s">
        <v>1072</v>
      </c>
      <c r="G25" s="558" t="s">
        <v>1073</v>
      </c>
      <c r="H25" s="558" t="s">
        <v>1051</v>
      </c>
      <c r="I25" s="558" t="s">
        <v>1074</v>
      </c>
      <c r="J25" s="558" t="s">
        <v>1075</v>
      </c>
      <c r="K25" s="558" t="s">
        <v>1076</v>
      </c>
      <c r="L25" s="562" t="s">
        <v>1077</v>
      </c>
      <c r="M25" s="558" t="s">
        <v>1086</v>
      </c>
      <c r="N25" s="563" t="s">
        <v>1106</v>
      </c>
      <c r="O25" s="558"/>
      <c r="P25" s="558"/>
      <c r="Q25" s="55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>
      <c r="A26" s="558" t="s">
        <v>1085</v>
      </c>
      <c r="B26" s="559">
        <v>45146.0</v>
      </c>
      <c r="C26" s="560">
        <v>45145.404861111114</v>
      </c>
      <c r="D26" s="561">
        <v>-61.54</v>
      </c>
      <c r="E26" s="558" t="s">
        <v>1071</v>
      </c>
      <c r="F26" s="558" t="s">
        <v>1072</v>
      </c>
      <c r="G26" s="558" t="s">
        <v>1073</v>
      </c>
      <c r="H26" s="558" t="s">
        <v>1051</v>
      </c>
      <c r="I26" s="558" t="s">
        <v>1074</v>
      </c>
      <c r="J26" s="558" t="s">
        <v>1075</v>
      </c>
      <c r="K26" s="558" t="s">
        <v>1076</v>
      </c>
      <c r="L26" s="562" t="s">
        <v>1077</v>
      </c>
      <c r="M26" s="558" t="s">
        <v>1086</v>
      </c>
      <c r="N26" s="563" t="s">
        <v>1107</v>
      </c>
      <c r="O26" s="558"/>
      <c r="P26" s="558"/>
      <c r="Q26" s="55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>
      <c r="A27" s="558" t="s">
        <v>1108</v>
      </c>
      <c r="B27" s="559">
        <v>45146.0</v>
      </c>
      <c r="C27" s="560">
        <v>45145.73888888889</v>
      </c>
      <c r="D27" s="561">
        <v>-279.0</v>
      </c>
      <c r="E27" s="558" t="s">
        <v>1071</v>
      </c>
      <c r="F27" s="558" t="s">
        <v>1072</v>
      </c>
      <c r="G27" s="558" t="s">
        <v>1073</v>
      </c>
      <c r="H27" s="558" t="s">
        <v>1051</v>
      </c>
      <c r="I27" s="558" t="s">
        <v>1074</v>
      </c>
      <c r="J27" s="558" t="s">
        <v>1075</v>
      </c>
      <c r="K27" s="558" t="s">
        <v>1076</v>
      </c>
      <c r="L27" s="562" t="s">
        <v>1077</v>
      </c>
      <c r="M27" s="558" t="s">
        <v>1109</v>
      </c>
      <c r="N27" s="563" t="s">
        <v>1110</v>
      </c>
      <c r="O27" s="558"/>
      <c r="P27" s="558"/>
      <c r="Q27" s="55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>
      <c r="A28" s="558" t="s">
        <v>1111</v>
      </c>
      <c r="B28" s="559">
        <v>45147.0</v>
      </c>
      <c r="C28" s="560">
        <v>45145.61319444444</v>
      </c>
      <c r="D28" s="561">
        <v>-64.0</v>
      </c>
      <c r="E28" s="558" t="s">
        <v>1071</v>
      </c>
      <c r="F28" s="558" t="s">
        <v>1072</v>
      </c>
      <c r="G28" s="558" t="s">
        <v>1073</v>
      </c>
      <c r="H28" s="558" t="s">
        <v>1051</v>
      </c>
      <c r="I28" s="558" t="s">
        <v>1074</v>
      </c>
      <c r="J28" s="558" t="s">
        <v>1075</v>
      </c>
      <c r="K28" s="558" t="s">
        <v>1076</v>
      </c>
      <c r="L28" s="562" t="s">
        <v>1077</v>
      </c>
      <c r="M28" s="558" t="s">
        <v>1112</v>
      </c>
      <c r="N28" s="563" t="s">
        <v>1113</v>
      </c>
      <c r="O28" s="558"/>
      <c r="P28" s="558"/>
      <c r="Q28" s="55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>
      <c r="A29" s="558" t="s">
        <v>1114</v>
      </c>
      <c r="B29" s="559">
        <v>45147.0</v>
      </c>
      <c r="C29" s="560">
        <v>45145.94861111111</v>
      </c>
      <c r="D29" s="561">
        <v>-196.8</v>
      </c>
      <c r="E29" s="558" t="s">
        <v>1071</v>
      </c>
      <c r="F29" s="558" t="s">
        <v>1072</v>
      </c>
      <c r="G29" s="558" t="s">
        <v>1073</v>
      </c>
      <c r="H29" s="558" t="s">
        <v>1051</v>
      </c>
      <c r="I29" s="558" t="s">
        <v>1074</v>
      </c>
      <c r="J29" s="558" t="s">
        <v>1075</v>
      </c>
      <c r="K29" s="558" t="s">
        <v>1076</v>
      </c>
      <c r="L29" s="562" t="s">
        <v>1077</v>
      </c>
      <c r="M29" s="558" t="s">
        <v>1115</v>
      </c>
      <c r="N29" s="563" t="s">
        <v>1116</v>
      </c>
      <c r="O29" s="558"/>
      <c r="P29" s="558"/>
      <c r="Q29" s="55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>
      <c r="A30" s="558" t="s">
        <v>1117</v>
      </c>
      <c r="B30" s="559">
        <v>45147.0</v>
      </c>
      <c r="C30" s="560">
        <v>45145.96319444444</v>
      </c>
      <c r="D30" s="561">
        <v>-90.0</v>
      </c>
      <c r="E30" s="558" t="s">
        <v>1071</v>
      </c>
      <c r="F30" s="558" t="s">
        <v>1072</v>
      </c>
      <c r="G30" s="558" t="s">
        <v>1073</v>
      </c>
      <c r="H30" s="558" t="s">
        <v>1051</v>
      </c>
      <c r="I30" s="558" t="s">
        <v>1074</v>
      </c>
      <c r="J30" s="558" t="s">
        <v>1075</v>
      </c>
      <c r="K30" s="558" t="s">
        <v>1076</v>
      </c>
      <c r="L30" s="562" t="s">
        <v>1077</v>
      </c>
      <c r="M30" s="558" t="s">
        <v>1118</v>
      </c>
      <c r="N30" s="563" t="s">
        <v>1119</v>
      </c>
      <c r="O30" s="558"/>
      <c r="P30" s="558"/>
      <c r="Q30" s="55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>
      <c r="A31" s="558" t="s">
        <v>1085</v>
      </c>
      <c r="B31" s="559">
        <v>45147.0</v>
      </c>
      <c r="C31" s="560">
        <v>45146.021527777775</v>
      </c>
      <c r="D31" s="561">
        <v>-27.53</v>
      </c>
      <c r="E31" s="558" t="s">
        <v>1071</v>
      </c>
      <c r="F31" s="558" t="s">
        <v>1072</v>
      </c>
      <c r="G31" s="558" t="s">
        <v>1073</v>
      </c>
      <c r="H31" s="558" t="s">
        <v>1051</v>
      </c>
      <c r="I31" s="558" t="s">
        <v>1074</v>
      </c>
      <c r="J31" s="558" t="s">
        <v>1075</v>
      </c>
      <c r="K31" s="558" t="s">
        <v>1076</v>
      </c>
      <c r="L31" s="562" t="s">
        <v>1077</v>
      </c>
      <c r="M31" s="558" t="s">
        <v>1120</v>
      </c>
      <c r="N31" s="563" t="s">
        <v>1121</v>
      </c>
      <c r="O31" s="558"/>
      <c r="P31" s="558"/>
      <c r="Q31" s="55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>
      <c r="A32" s="558" t="s">
        <v>1060</v>
      </c>
      <c r="B32" s="559">
        <v>45148.0</v>
      </c>
      <c r="C32" s="560">
        <v>45147.59861111111</v>
      </c>
      <c r="D32" s="561">
        <v>-250.65</v>
      </c>
      <c r="E32" s="558" t="s">
        <v>1071</v>
      </c>
      <c r="F32" s="558" t="s">
        <v>1072</v>
      </c>
      <c r="G32" s="558" t="s">
        <v>1073</v>
      </c>
      <c r="H32" s="558" t="s">
        <v>1051</v>
      </c>
      <c r="I32" s="558" t="s">
        <v>1074</v>
      </c>
      <c r="J32" s="558" t="s">
        <v>1075</v>
      </c>
      <c r="K32" s="558" t="s">
        <v>1076</v>
      </c>
      <c r="L32" s="562" t="s">
        <v>1077</v>
      </c>
      <c r="M32" s="558" t="s">
        <v>1122</v>
      </c>
      <c r="N32" s="563" t="s">
        <v>1123</v>
      </c>
      <c r="O32" s="558"/>
      <c r="P32" s="558"/>
      <c r="Q32" s="55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>
      <c r="A33" s="558" t="s">
        <v>1047</v>
      </c>
      <c r="B33" s="559">
        <v>45148.0</v>
      </c>
      <c r="C33" s="560">
        <v>45147.61041666667</v>
      </c>
      <c r="D33" s="561">
        <v>-244.9</v>
      </c>
      <c r="E33" s="558" t="s">
        <v>1071</v>
      </c>
      <c r="F33" s="558" t="s">
        <v>1072</v>
      </c>
      <c r="G33" s="558" t="s">
        <v>1073</v>
      </c>
      <c r="H33" s="558" t="s">
        <v>1051</v>
      </c>
      <c r="I33" s="558" t="s">
        <v>1074</v>
      </c>
      <c r="J33" s="558" t="s">
        <v>1075</v>
      </c>
      <c r="K33" s="558" t="s">
        <v>1076</v>
      </c>
      <c r="L33" s="562" t="s">
        <v>1077</v>
      </c>
      <c r="M33" s="558" t="s">
        <v>1124</v>
      </c>
      <c r="N33" s="563" t="s">
        <v>1125</v>
      </c>
      <c r="O33" s="558"/>
      <c r="P33" s="558"/>
      <c r="Q33" s="55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>
      <c r="A34" s="558" t="s">
        <v>1047</v>
      </c>
      <c r="B34" s="559">
        <v>45148.0</v>
      </c>
      <c r="C34" s="560">
        <v>45147.61041666667</v>
      </c>
      <c r="D34" s="561">
        <v>-314.54</v>
      </c>
      <c r="E34" s="558" t="s">
        <v>1071</v>
      </c>
      <c r="F34" s="558" t="s">
        <v>1072</v>
      </c>
      <c r="G34" s="558" t="s">
        <v>1073</v>
      </c>
      <c r="H34" s="558" t="s">
        <v>1051</v>
      </c>
      <c r="I34" s="558" t="s">
        <v>1074</v>
      </c>
      <c r="J34" s="558" t="s">
        <v>1075</v>
      </c>
      <c r="K34" s="558" t="s">
        <v>1076</v>
      </c>
      <c r="L34" s="562" t="s">
        <v>1077</v>
      </c>
      <c r="M34" s="558" t="s">
        <v>1126</v>
      </c>
      <c r="N34" s="563" t="s">
        <v>1127</v>
      </c>
      <c r="O34" s="558"/>
      <c r="P34" s="558"/>
      <c r="Q34" s="55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>
      <c r="A35" s="558" t="s">
        <v>1128</v>
      </c>
      <c r="B35" s="559">
        <v>45148.0</v>
      </c>
      <c r="C35" s="560">
        <v>45146.71388888889</v>
      </c>
      <c r="D35" s="561">
        <v>-249.0</v>
      </c>
      <c r="E35" s="558" t="s">
        <v>1071</v>
      </c>
      <c r="F35" s="558" t="s">
        <v>1072</v>
      </c>
      <c r="G35" s="558" t="s">
        <v>1073</v>
      </c>
      <c r="H35" s="558" t="s">
        <v>1051</v>
      </c>
      <c r="I35" s="558" t="s">
        <v>1074</v>
      </c>
      <c r="J35" s="558" t="s">
        <v>1075</v>
      </c>
      <c r="K35" s="558" t="s">
        <v>1076</v>
      </c>
      <c r="L35" s="562" t="s">
        <v>1077</v>
      </c>
      <c r="M35" s="558" t="s">
        <v>1129</v>
      </c>
      <c r="N35" s="563" t="s">
        <v>1130</v>
      </c>
      <c r="O35" s="558"/>
      <c r="P35" s="558"/>
      <c r="Q35" s="55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>
      <c r="A36" s="558" t="s">
        <v>1085</v>
      </c>
      <c r="B36" s="559">
        <v>45148.0</v>
      </c>
      <c r="C36" s="560">
        <v>45147.80763888889</v>
      </c>
      <c r="D36" s="561">
        <v>-53.68</v>
      </c>
      <c r="E36" s="558" t="s">
        <v>1071</v>
      </c>
      <c r="F36" s="558" t="s">
        <v>1072</v>
      </c>
      <c r="G36" s="558" t="s">
        <v>1073</v>
      </c>
      <c r="H36" s="558" t="s">
        <v>1051</v>
      </c>
      <c r="I36" s="558" t="s">
        <v>1074</v>
      </c>
      <c r="J36" s="558" t="s">
        <v>1075</v>
      </c>
      <c r="K36" s="558" t="s">
        <v>1076</v>
      </c>
      <c r="L36" s="562" t="s">
        <v>1077</v>
      </c>
      <c r="M36" s="558" t="s">
        <v>1131</v>
      </c>
      <c r="N36" s="563" t="s">
        <v>1132</v>
      </c>
      <c r="O36" s="558"/>
      <c r="P36" s="558"/>
      <c r="Q36" s="55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>
      <c r="A37" s="558" t="s">
        <v>1133</v>
      </c>
      <c r="B37" s="559">
        <v>45148.0</v>
      </c>
      <c r="C37" s="560">
        <v>45147.95416666667</v>
      </c>
      <c r="D37" s="561">
        <v>-220.93</v>
      </c>
      <c r="E37" s="558" t="s">
        <v>1071</v>
      </c>
      <c r="F37" s="558" t="s">
        <v>1072</v>
      </c>
      <c r="G37" s="558" t="s">
        <v>1073</v>
      </c>
      <c r="H37" s="558" t="s">
        <v>1051</v>
      </c>
      <c r="I37" s="558" t="s">
        <v>1074</v>
      </c>
      <c r="J37" s="558" t="s">
        <v>1075</v>
      </c>
      <c r="K37" s="558" t="s">
        <v>1076</v>
      </c>
      <c r="L37" s="562" t="s">
        <v>1077</v>
      </c>
      <c r="M37" s="558" t="s">
        <v>1134</v>
      </c>
      <c r="N37" s="563" t="s">
        <v>1135</v>
      </c>
      <c r="O37" s="558"/>
      <c r="P37" s="558"/>
      <c r="Q37" s="55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>
      <c r="A38" s="558" t="s">
        <v>1136</v>
      </c>
      <c r="B38" s="559">
        <v>45149.0</v>
      </c>
      <c r="C38" s="560">
        <v>45148.59375</v>
      </c>
      <c r="D38" s="561">
        <v>-153.16</v>
      </c>
      <c r="E38" s="558" t="s">
        <v>1071</v>
      </c>
      <c r="F38" s="558" t="s">
        <v>1072</v>
      </c>
      <c r="G38" s="558" t="s">
        <v>1073</v>
      </c>
      <c r="H38" s="558" t="s">
        <v>1051</v>
      </c>
      <c r="I38" s="558" t="s">
        <v>1074</v>
      </c>
      <c r="J38" s="558" t="s">
        <v>1075</v>
      </c>
      <c r="K38" s="558" t="s">
        <v>1076</v>
      </c>
      <c r="L38" s="562" t="s">
        <v>1077</v>
      </c>
      <c r="M38" s="558" t="s">
        <v>1137</v>
      </c>
      <c r="N38" s="563" t="s">
        <v>1138</v>
      </c>
      <c r="O38" s="558"/>
      <c r="P38" s="558"/>
      <c r="Q38" s="55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>
      <c r="A39" s="558" t="s">
        <v>1136</v>
      </c>
      <c r="B39" s="559">
        <v>45149.0</v>
      </c>
      <c r="C39" s="560">
        <v>45148.680555555555</v>
      </c>
      <c r="D39" s="561">
        <v>-172.66</v>
      </c>
      <c r="E39" s="558" t="s">
        <v>1071</v>
      </c>
      <c r="F39" s="558" t="s">
        <v>1072</v>
      </c>
      <c r="G39" s="558" t="s">
        <v>1073</v>
      </c>
      <c r="H39" s="558" t="s">
        <v>1051</v>
      </c>
      <c r="I39" s="558" t="s">
        <v>1074</v>
      </c>
      <c r="J39" s="558" t="s">
        <v>1075</v>
      </c>
      <c r="K39" s="558" t="s">
        <v>1076</v>
      </c>
      <c r="L39" s="562" t="s">
        <v>1077</v>
      </c>
      <c r="M39" s="558" t="s">
        <v>1137</v>
      </c>
      <c r="N39" s="563" t="s">
        <v>1139</v>
      </c>
      <c r="O39" s="558"/>
      <c r="P39" s="558"/>
      <c r="Q39" s="55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>
      <c r="A40" s="558" t="s">
        <v>1140</v>
      </c>
      <c r="B40" s="559">
        <v>45149.0</v>
      </c>
      <c r="C40" s="560">
        <v>45149.032638888886</v>
      </c>
      <c r="D40" s="561">
        <v>-86.5</v>
      </c>
      <c r="E40" s="558" t="s">
        <v>1071</v>
      </c>
      <c r="F40" s="558" t="s">
        <v>1072</v>
      </c>
      <c r="G40" s="558" t="s">
        <v>1073</v>
      </c>
      <c r="H40" s="558" t="s">
        <v>1051</v>
      </c>
      <c r="I40" s="558" t="s">
        <v>1074</v>
      </c>
      <c r="J40" s="558" t="s">
        <v>1075</v>
      </c>
      <c r="K40" s="558" t="s">
        <v>1076</v>
      </c>
      <c r="L40" s="562" t="s">
        <v>1077</v>
      </c>
      <c r="M40" s="558" t="s">
        <v>1141</v>
      </c>
      <c r="N40" s="563" t="s">
        <v>1142</v>
      </c>
      <c r="O40" s="558"/>
      <c r="P40" s="558"/>
      <c r="Q40" s="55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>
      <c r="A41" s="558" t="s">
        <v>1085</v>
      </c>
      <c r="B41" s="559">
        <v>45149.0</v>
      </c>
      <c r="C41" s="560">
        <v>45148.02222222222</v>
      </c>
      <c r="D41" s="561">
        <v>-26.72</v>
      </c>
      <c r="E41" s="558" t="s">
        <v>1071</v>
      </c>
      <c r="F41" s="558" t="s">
        <v>1072</v>
      </c>
      <c r="G41" s="558" t="s">
        <v>1073</v>
      </c>
      <c r="H41" s="558" t="s">
        <v>1051</v>
      </c>
      <c r="I41" s="558" t="s">
        <v>1074</v>
      </c>
      <c r="J41" s="558" t="s">
        <v>1075</v>
      </c>
      <c r="K41" s="558" t="s">
        <v>1076</v>
      </c>
      <c r="L41" s="562" t="s">
        <v>1077</v>
      </c>
      <c r="M41" s="558" t="s">
        <v>1143</v>
      </c>
      <c r="N41" s="563" t="s">
        <v>1144</v>
      </c>
      <c r="O41" s="558"/>
      <c r="P41" s="558"/>
      <c r="Q41" s="55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>
      <c r="A42" s="558" t="s">
        <v>1145</v>
      </c>
      <c r="B42" s="559">
        <v>45149.0</v>
      </c>
      <c r="C42" s="560">
        <v>45148.65625</v>
      </c>
      <c r="D42" s="561">
        <v>-150.0</v>
      </c>
      <c r="E42" s="558" t="s">
        <v>1071</v>
      </c>
      <c r="F42" s="558" t="s">
        <v>1072</v>
      </c>
      <c r="G42" s="558" t="s">
        <v>1073</v>
      </c>
      <c r="H42" s="558" t="s">
        <v>1051</v>
      </c>
      <c r="I42" s="558" t="s">
        <v>1074</v>
      </c>
      <c r="J42" s="558" t="s">
        <v>1075</v>
      </c>
      <c r="K42" s="558" t="s">
        <v>1076</v>
      </c>
      <c r="L42" s="562" t="s">
        <v>1077</v>
      </c>
      <c r="M42" s="558" t="s">
        <v>1137</v>
      </c>
      <c r="N42" s="563" t="s">
        <v>1146</v>
      </c>
      <c r="O42" s="558"/>
      <c r="P42" s="558"/>
      <c r="Q42" s="55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>
      <c r="A43" s="558" t="s">
        <v>1145</v>
      </c>
      <c r="B43" s="559">
        <v>45149.0</v>
      </c>
      <c r="C43" s="560">
        <v>45148.65902777778</v>
      </c>
      <c r="D43" s="561">
        <v>-50.0</v>
      </c>
      <c r="E43" s="558" t="s">
        <v>1071</v>
      </c>
      <c r="F43" s="558" t="s">
        <v>1072</v>
      </c>
      <c r="G43" s="558" t="s">
        <v>1073</v>
      </c>
      <c r="H43" s="558" t="s">
        <v>1051</v>
      </c>
      <c r="I43" s="558" t="s">
        <v>1074</v>
      </c>
      <c r="J43" s="558" t="s">
        <v>1075</v>
      </c>
      <c r="K43" s="558" t="s">
        <v>1076</v>
      </c>
      <c r="L43" s="562" t="s">
        <v>1077</v>
      </c>
      <c r="M43" s="558" t="s">
        <v>1137</v>
      </c>
      <c r="N43" s="563" t="s">
        <v>1147</v>
      </c>
      <c r="O43" s="558"/>
      <c r="P43" s="558"/>
      <c r="Q43" s="55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>
      <c r="A44" s="558" t="s">
        <v>1148</v>
      </c>
      <c r="B44" s="559">
        <v>45149.0</v>
      </c>
      <c r="C44" s="560">
        <v>45148.74097222222</v>
      </c>
      <c r="D44" s="561">
        <v>-142.56</v>
      </c>
      <c r="E44" s="558" t="s">
        <v>1071</v>
      </c>
      <c r="F44" s="558" t="s">
        <v>1072</v>
      </c>
      <c r="G44" s="558" t="s">
        <v>1073</v>
      </c>
      <c r="H44" s="558" t="s">
        <v>1051</v>
      </c>
      <c r="I44" s="558" t="s">
        <v>1074</v>
      </c>
      <c r="J44" s="558" t="s">
        <v>1075</v>
      </c>
      <c r="K44" s="558" t="s">
        <v>1076</v>
      </c>
      <c r="L44" s="562" t="s">
        <v>1077</v>
      </c>
      <c r="M44" s="558" t="s">
        <v>1149</v>
      </c>
      <c r="N44" s="563" t="s">
        <v>1150</v>
      </c>
      <c r="O44" s="558"/>
      <c r="P44" s="558"/>
      <c r="Q44" s="55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>
      <c r="A45" s="558" t="s">
        <v>1060</v>
      </c>
      <c r="B45" s="559">
        <v>45150.0</v>
      </c>
      <c r="C45" s="560">
        <v>45147.73055555556</v>
      </c>
      <c r="D45" s="561">
        <v>-888.99</v>
      </c>
      <c r="E45" s="558" t="s">
        <v>1071</v>
      </c>
      <c r="F45" s="558" t="s">
        <v>1072</v>
      </c>
      <c r="G45" s="558" t="s">
        <v>1073</v>
      </c>
      <c r="H45" s="558" t="s">
        <v>1051</v>
      </c>
      <c r="I45" s="558" t="s">
        <v>1074</v>
      </c>
      <c r="J45" s="558" t="s">
        <v>1075</v>
      </c>
      <c r="K45" s="558" t="s">
        <v>1076</v>
      </c>
      <c r="L45" s="562" t="s">
        <v>1077</v>
      </c>
      <c r="M45" s="558" t="s">
        <v>1151</v>
      </c>
      <c r="N45" s="563" t="s">
        <v>1152</v>
      </c>
      <c r="O45" s="558"/>
      <c r="P45" s="558"/>
      <c r="Q45" s="55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>
      <c r="A46" s="562" t="s">
        <v>1153</v>
      </c>
      <c r="B46" s="559">
        <v>45150.0</v>
      </c>
      <c r="C46" s="560">
        <v>45148.74652777778</v>
      </c>
      <c r="D46" s="561">
        <v>-16.95</v>
      </c>
      <c r="E46" s="558" t="s">
        <v>1071</v>
      </c>
      <c r="F46" s="558" t="s">
        <v>1072</v>
      </c>
      <c r="G46" s="558" t="s">
        <v>1073</v>
      </c>
      <c r="H46" s="558" t="s">
        <v>1051</v>
      </c>
      <c r="I46" s="558" t="s">
        <v>1074</v>
      </c>
      <c r="J46" s="558" t="s">
        <v>1075</v>
      </c>
      <c r="K46" s="558" t="s">
        <v>1076</v>
      </c>
      <c r="L46" s="562" t="s">
        <v>1077</v>
      </c>
      <c r="M46" s="558" t="s">
        <v>1154</v>
      </c>
      <c r="N46" s="563" t="s">
        <v>1155</v>
      </c>
      <c r="O46" s="558"/>
      <c r="P46" s="558"/>
      <c r="Q46" s="55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>
      <c r="A47" s="558" t="s">
        <v>1156</v>
      </c>
      <c r="B47" s="559">
        <v>45152.0</v>
      </c>
      <c r="C47" s="560">
        <v>45150.79236111111</v>
      </c>
      <c r="D47" s="561">
        <v>-143.46</v>
      </c>
      <c r="E47" s="558" t="s">
        <v>1071</v>
      </c>
      <c r="F47" s="558" t="s">
        <v>1072</v>
      </c>
      <c r="G47" s="558" t="s">
        <v>1073</v>
      </c>
      <c r="H47" s="558" t="s">
        <v>1051</v>
      </c>
      <c r="I47" s="558" t="s">
        <v>1074</v>
      </c>
      <c r="J47" s="558" t="s">
        <v>1075</v>
      </c>
      <c r="K47" s="558" t="s">
        <v>1076</v>
      </c>
      <c r="L47" s="562" t="s">
        <v>1077</v>
      </c>
      <c r="M47" s="558" t="s">
        <v>1157</v>
      </c>
      <c r="N47" s="563" t="s">
        <v>1158</v>
      </c>
      <c r="O47" s="558"/>
      <c r="P47" s="558"/>
      <c r="Q47" s="55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>
      <c r="A48" s="558" t="s">
        <v>1159</v>
      </c>
      <c r="B48" s="559">
        <v>45152.0</v>
      </c>
      <c r="C48" s="560">
        <v>45150.81805555556</v>
      </c>
      <c r="D48" s="561">
        <v>-76.69</v>
      </c>
      <c r="E48" s="558" t="s">
        <v>1071</v>
      </c>
      <c r="F48" s="558" t="s">
        <v>1072</v>
      </c>
      <c r="G48" s="558" t="s">
        <v>1073</v>
      </c>
      <c r="H48" s="558" t="s">
        <v>1051</v>
      </c>
      <c r="I48" s="558" t="s">
        <v>1074</v>
      </c>
      <c r="J48" s="558" t="s">
        <v>1075</v>
      </c>
      <c r="K48" s="558" t="s">
        <v>1076</v>
      </c>
      <c r="L48" s="562" t="s">
        <v>1077</v>
      </c>
      <c r="M48" s="558" t="s">
        <v>1160</v>
      </c>
      <c r="N48" s="563" t="s">
        <v>1161</v>
      </c>
      <c r="O48" s="558"/>
      <c r="P48" s="558"/>
      <c r="Q48" s="55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>
      <c r="A49" s="558" t="s">
        <v>1162</v>
      </c>
      <c r="B49" s="559">
        <v>45152.0</v>
      </c>
      <c r="C49" s="560">
        <v>45151.205555555556</v>
      </c>
      <c r="D49" s="561">
        <v>-100.8</v>
      </c>
      <c r="E49" s="558" t="s">
        <v>1071</v>
      </c>
      <c r="F49" s="558" t="s">
        <v>1072</v>
      </c>
      <c r="G49" s="558" t="s">
        <v>1073</v>
      </c>
      <c r="H49" s="558" t="s">
        <v>1051</v>
      </c>
      <c r="I49" s="558" t="s">
        <v>1074</v>
      </c>
      <c r="J49" s="558" t="s">
        <v>1075</v>
      </c>
      <c r="K49" s="558" t="s">
        <v>1076</v>
      </c>
      <c r="L49" s="562" t="s">
        <v>1077</v>
      </c>
      <c r="M49" s="558" t="s">
        <v>1163</v>
      </c>
      <c r="N49" s="563" t="s">
        <v>1164</v>
      </c>
      <c r="O49" s="558"/>
      <c r="P49" s="558"/>
      <c r="Q49" s="55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>
      <c r="A50" s="558" t="s">
        <v>1085</v>
      </c>
      <c r="B50" s="559">
        <v>45152.0</v>
      </c>
      <c r="C50" s="560">
        <v>45151.294444444444</v>
      </c>
      <c r="D50" s="561">
        <v>-27.88</v>
      </c>
      <c r="E50" s="558" t="s">
        <v>1071</v>
      </c>
      <c r="F50" s="558" t="s">
        <v>1072</v>
      </c>
      <c r="G50" s="558" t="s">
        <v>1073</v>
      </c>
      <c r="H50" s="558" t="s">
        <v>1051</v>
      </c>
      <c r="I50" s="558" t="s">
        <v>1074</v>
      </c>
      <c r="J50" s="558" t="s">
        <v>1075</v>
      </c>
      <c r="K50" s="558" t="s">
        <v>1076</v>
      </c>
      <c r="L50" s="562" t="s">
        <v>1077</v>
      </c>
      <c r="M50" s="558" t="s">
        <v>1165</v>
      </c>
      <c r="N50" s="563" t="s">
        <v>1166</v>
      </c>
      <c r="O50" s="558"/>
      <c r="P50" s="558"/>
      <c r="Q50" s="55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>
      <c r="A51" s="558" t="s">
        <v>1167</v>
      </c>
      <c r="B51" s="559">
        <v>45152.0</v>
      </c>
      <c r="C51" s="560">
        <v>45151.81041666667</v>
      </c>
      <c r="D51" s="561">
        <v>-135.0</v>
      </c>
      <c r="E51" s="558" t="s">
        <v>1071</v>
      </c>
      <c r="F51" s="558" t="s">
        <v>1072</v>
      </c>
      <c r="G51" s="558" t="s">
        <v>1073</v>
      </c>
      <c r="H51" s="558" t="s">
        <v>1051</v>
      </c>
      <c r="I51" s="558" t="s">
        <v>1074</v>
      </c>
      <c r="J51" s="558" t="s">
        <v>1075</v>
      </c>
      <c r="K51" s="558" t="s">
        <v>1076</v>
      </c>
      <c r="L51" s="562" t="s">
        <v>1077</v>
      </c>
      <c r="M51" s="558" t="s">
        <v>1168</v>
      </c>
      <c r="N51" s="563" t="s">
        <v>1169</v>
      </c>
      <c r="O51" s="558"/>
      <c r="P51" s="558"/>
      <c r="Q51" s="55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</row>
    <row r="52">
      <c r="A52" s="558" t="s">
        <v>1170</v>
      </c>
      <c r="B52" s="559">
        <v>45152.0</v>
      </c>
      <c r="C52" s="560">
        <v>45151.99722222222</v>
      </c>
      <c r="D52" s="561">
        <v>-56.66</v>
      </c>
      <c r="E52" s="558" t="s">
        <v>1071</v>
      </c>
      <c r="F52" s="558" t="s">
        <v>1072</v>
      </c>
      <c r="G52" s="558" t="s">
        <v>1073</v>
      </c>
      <c r="H52" s="558" t="s">
        <v>1051</v>
      </c>
      <c r="I52" s="558" t="s">
        <v>1074</v>
      </c>
      <c r="J52" s="558" t="s">
        <v>1075</v>
      </c>
      <c r="K52" s="558" t="s">
        <v>1076</v>
      </c>
      <c r="L52" s="562" t="s">
        <v>1077</v>
      </c>
      <c r="M52" s="558" t="s">
        <v>1171</v>
      </c>
      <c r="N52" s="563" t="s">
        <v>1172</v>
      </c>
      <c r="O52" s="558"/>
      <c r="P52" s="558"/>
      <c r="Q52" s="55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</row>
    <row r="53">
      <c r="A53" s="562" t="s">
        <v>1173</v>
      </c>
      <c r="B53" s="559">
        <v>45153.0</v>
      </c>
      <c r="C53" s="560">
        <v>45147.6</v>
      </c>
      <c r="D53" s="561">
        <v>-595.99</v>
      </c>
      <c r="E53" s="558" t="s">
        <v>1071</v>
      </c>
      <c r="F53" s="558" t="s">
        <v>1072</v>
      </c>
      <c r="G53" s="558" t="s">
        <v>1073</v>
      </c>
      <c r="H53" s="558" t="s">
        <v>1051</v>
      </c>
      <c r="I53" s="558" t="s">
        <v>1074</v>
      </c>
      <c r="J53" s="558" t="s">
        <v>1075</v>
      </c>
      <c r="K53" s="558" t="s">
        <v>1076</v>
      </c>
      <c r="L53" s="562" t="s">
        <v>1077</v>
      </c>
      <c r="M53" s="558" t="s">
        <v>1174</v>
      </c>
      <c r="N53" s="563" t="s">
        <v>1175</v>
      </c>
      <c r="O53" s="558"/>
      <c r="P53" s="558"/>
      <c r="Q53" s="55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</row>
    <row r="54">
      <c r="A54" s="558" t="s">
        <v>1085</v>
      </c>
      <c r="B54" s="559">
        <v>45153.0</v>
      </c>
      <c r="C54" s="560">
        <v>45151.879166666666</v>
      </c>
      <c r="D54" s="561">
        <v>-27.88</v>
      </c>
      <c r="E54" s="558" t="s">
        <v>1071</v>
      </c>
      <c r="F54" s="558" t="s">
        <v>1072</v>
      </c>
      <c r="G54" s="558" t="s">
        <v>1073</v>
      </c>
      <c r="H54" s="558" t="s">
        <v>1051</v>
      </c>
      <c r="I54" s="558" t="s">
        <v>1074</v>
      </c>
      <c r="J54" s="558" t="s">
        <v>1075</v>
      </c>
      <c r="K54" s="558" t="s">
        <v>1076</v>
      </c>
      <c r="L54" s="562" t="s">
        <v>1077</v>
      </c>
      <c r="M54" s="558" t="s">
        <v>1176</v>
      </c>
      <c r="N54" s="563" t="s">
        <v>1177</v>
      </c>
      <c r="O54" s="558"/>
      <c r="P54" s="558"/>
      <c r="Q54" s="55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</row>
    <row r="55">
      <c r="A55" s="562" t="s">
        <v>1153</v>
      </c>
      <c r="B55" s="559">
        <v>45155.0</v>
      </c>
      <c r="C55" s="560">
        <v>45154.03055555555</v>
      </c>
      <c r="D55" s="561">
        <v>-74.99</v>
      </c>
      <c r="E55" s="558" t="s">
        <v>1071</v>
      </c>
      <c r="F55" s="558" t="s">
        <v>1072</v>
      </c>
      <c r="G55" s="558" t="s">
        <v>1073</v>
      </c>
      <c r="H55" s="558" t="s">
        <v>1051</v>
      </c>
      <c r="I55" s="558" t="s">
        <v>1074</v>
      </c>
      <c r="J55" s="558" t="s">
        <v>1075</v>
      </c>
      <c r="K55" s="558" t="s">
        <v>1076</v>
      </c>
      <c r="L55" s="562" t="s">
        <v>1077</v>
      </c>
      <c r="M55" s="558" t="s">
        <v>1178</v>
      </c>
      <c r="N55" s="563" t="s">
        <v>1179</v>
      </c>
      <c r="O55" s="558"/>
      <c r="P55" s="558"/>
      <c r="Q55" s="55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</row>
    <row r="56">
      <c r="A56" s="558" t="s">
        <v>1180</v>
      </c>
      <c r="B56" s="559">
        <v>45155.0</v>
      </c>
      <c r="C56" s="560">
        <v>45154.53333333333</v>
      </c>
      <c r="D56" s="561">
        <v>-264.3</v>
      </c>
      <c r="E56" s="558" t="s">
        <v>1071</v>
      </c>
      <c r="F56" s="558" t="s">
        <v>1072</v>
      </c>
      <c r="G56" s="558" t="s">
        <v>1073</v>
      </c>
      <c r="H56" s="558" t="s">
        <v>1051</v>
      </c>
      <c r="I56" s="558" t="s">
        <v>1074</v>
      </c>
      <c r="J56" s="558" t="s">
        <v>1075</v>
      </c>
      <c r="K56" s="558" t="s">
        <v>1076</v>
      </c>
      <c r="L56" s="562" t="s">
        <v>1077</v>
      </c>
      <c r="M56" s="558" t="s">
        <v>1181</v>
      </c>
      <c r="N56" s="563" t="s">
        <v>1182</v>
      </c>
      <c r="O56" s="558"/>
      <c r="P56" s="558"/>
      <c r="Q56" s="55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</row>
    <row r="57">
      <c r="A57" s="562" t="s">
        <v>1173</v>
      </c>
      <c r="B57" s="559">
        <v>45156.0</v>
      </c>
      <c r="C57" s="560">
        <v>45155.774305555555</v>
      </c>
      <c r="D57" s="561">
        <v>-19.99</v>
      </c>
      <c r="E57" s="558" t="s">
        <v>1071</v>
      </c>
      <c r="F57" s="558" t="s">
        <v>1072</v>
      </c>
      <c r="G57" s="558" t="s">
        <v>1073</v>
      </c>
      <c r="H57" s="558" t="s">
        <v>1051</v>
      </c>
      <c r="I57" s="558" t="s">
        <v>1074</v>
      </c>
      <c r="J57" s="558" t="s">
        <v>1075</v>
      </c>
      <c r="K57" s="558" t="s">
        <v>1076</v>
      </c>
      <c r="L57" s="562" t="s">
        <v>1077</v>
      </c>
      <c r="M57" s="558" t="s">
        <v>1183</v>
      </c>
      <c r="N57" s="563" t="s">
        <v>1184</v>
      </c>
      <c r="O57" s="558"/>
      <c r="P57" s="558"/>
      <c r="Q57" s="55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</row>
    <row r="58">
      <c r="A58" s="558" t="s">
        <v>1185</v>
      </c>
      <c r="B58" s="559">
        <v>45156.0</v>
      </c>
      <c r="C58" s="560">
        <v>45155.71319444444</v>
      </c>
      <c r="D58" s="561">
        <v>-35.94</v>
      </c>
      <c r="E58" s="558" t="s">
        <v>1071</v>
      </c>
      <c r="F58" s="558" t="s">
        <v>1072</v>
      </c>
      <c r="G58" s="558" t="s">
        <v>1073</v>
      </c>
      <c r="H58" s="558" t="s">
        <v>1051</v>
      </c>
      <c r="I58" s="558" t="s">
        <v>1074</v>
      </c>
      <c r="J58" s="558" t="s">
        <v>1075</v>
      </c>
      <c r="K58" s="558" t="s">
        <v>1076</v>
      </c>
      <c r="L58" s="562" t="s">
        <v>1077</v>
      </c>
      <c r="M58" s="558" t="s">
        <v>1186</v>
      </c>
      <c r="N58" s="563" t="s">
        <v>1187</v>
      </c>
      <c r="O58" s="558"/>
      <c r="P58" s="558"/>
      <c r="Q58" s="55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</row>
    <row r="59">
      <c r="A59" s="558" t="s">
        <v>1133</v>
      </c>
      <c r="B59" s="559">
        <v>45156.0</v>
      </c>
      <c r="C59" s="560">
        <v>45155.82847222222</v>
      </c>
      <c r="D59" s="561">
        <v>-537.41</v>
      </c>
      <c r="E59" s="558" t="s">
        <v>1071</v>
      </c>
      <c r="F59" s="558" t="s">
        <v>1072</v>
      </c>
      <c r="G59" s="558" t="s">
        <v>1073</v>
      </c>
      <c r="H59" s="558" t="s">
        <v>1051</v>
      </c>
      <c r="I59" s="558" t="s">
        <v>1074</v>
      </c>
      <c r="J59" s="558" t="s">
        <v>1075</v>
      </c>
      <c r="K59" s="558" t="s">
        <v>1076</v>
      </c>
      <c r="L59" s="562" t="s">
        <v>1077</v>
      </c>
      <c r="M59" s="558" t="s">
        <v>1188</v>
      </c>
      <c r="N59" s="563" t="s">
        <v>1189</v>
      </c>
      <c r="O59" s="558"/>
      <c r="P59" s="558"/>
      <c r="Q59" s="55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</row>
    <row r="60">
      <c r="A60" s="558" t="s">
        <v>1190</v>
      </c>
      <c r="B60" s="559">
        <v>45157.0</v>
      </c>
      <c r="C60" s="560">
        <v>45156.07083333333</v>
      </c>
      <c r="D60" s="561">
        <v>-93.0</v>
      </c>
      <c r="E60" s="558" t="s">
        <v>1071</v>
      </c>
      <c r="F60" s="558" t="s">
        <v>1072</v>
      </c>
      <c r="G60" s="558" t="s">
        <v>1073</v>
      </c>
      <c r="H60" s="558" t="s">
        <v>1051</v>
      </c>
      <c r="I60" s="558" t="s">
        <v>1074</v>
      </c>
      <c r="J60" s="558" t="s">
        <v>1075</v>
      </c>
      <c r="K60" s="558" t="s">
        <v>1076</v>
      </c>
      <c r="L60" s="562" t="s">
        <v>1077</v>
      </c>
      <c r="M60" s="558" t="s">
        <v>1191</v>
      </c>
      <c r="N60" s="563" t="s">
        <v>1192</v>
      </c>
      <c r="O60" s="558"/>
      <c r="P60" s="558"/>
      <c r="Q60" s="55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</row>
    <row r="61">
      <c r="A61" s="558" t="s">
        <v>1193</v>
      </c>
      <c r="B61" s="559">
        <v>45157.0</v>
      </c>
      <c r="C61" s="560">
        <v>45157.12222222222</v>
      </c>
      <c r="D61" s="561">
        <v>-126.0</v>
      </c>
      <c r="E61" s="558" t="s">
        <v>1071</v>
      </c>
      <c r="F61" s="558" t="s">
        <v>1072</v>
      </c>
      <c r="G61" s="558" t="s">
        <v>1073</v>
      </c>
      <c r="H61" s="558" t="s">
        <v>1051</v>
      </c>
      <c r="I61" s="558" t="s">
        <v>1074</v>
      </c>
      <c r="J61" s="558" t="s">
        <v>1075</v>
      </c>
      <c r="K61" s="558" t="s">
        <v>1076</v>
      </c>
      <c r="L61" s="562" t="s">
        <v>1077</v>
      </c>
      <c r="M61" s="558" t="s">
        <v>1194</v>
      </c>
      <c r="N61" s="563" t="s">
        <v>1195</v>
      </c>
      <c r="O61" s="558"/>
      <c r="P61" s="558"/>
      <c r="Q61" s="55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</row>
    <row r="62">
      <c r="A62" s="562" t="s">
        <v>1153</v>
      </c>
      <c r="B62" s="559">
        <v>45160.0</v>
      </c>
      <c r="C62" s="560">
        <v>45159.68194444444</v>
      </c>
      <c r="D62" s="561">
        <v>-18.99</v>
      </c>
      <c r="E62" s="558" t="s">
        <v>1071</v>
      </c>
      <c r="F62" s="558" t="s">
        <v>1072</v>
      </c>
      <c r="G62" s="558" t="s">
        <v>1073</v>
      </c>
      <c r="H62" s="558" t="s">
        <v>1051</v>
      </c>
      <c r="I62" s="558" t="s">
        <v>1074</v>
      </c>
      <c r="J62" s="558" t="s">
        <v>1075</v>
      </c>
      <c r="K62" s="558" t="s">
        <v>1076</v>
      </c>
      <c r="L62" s="562" t="s">
        <v>1077</v>
      </c>
      <c r="M62" s="558" t="s">
        <v>1196</v>
      </c>
      <c r="N62" s="563" t="s">
        <v>1197</v>
      </c>
      <c r="O62" s="558"/>
      <c r="P62" s="558"/>
      <c r="Q62" s="55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</row>
    <row r="63">
      <c r="A63" s="562" t="s">
        <v>1153</v>
      </c>
      <c r="B63" s="559">
        <v>45160.0</v>
      </c>
      <c r="C63" s="560">
        <v>45159.69236111111</v>
      </c>
      <c r="D63" s="561">
        <v>-14.99</v>
      </c>
      <c r="E63" s="558" t="s">
        <v>1071</v>
      </c>
      <c r="F63" s="558" t="s">
        <v>1072</v>
      </c>
      <c r="G63" s="558" t="s">
        <v>1073</v>
      </c>
      <c r="H63" s="558" t="s">
        <v>1051</v>
      </c>
      <c r="I63" s="558" t="s">
        <v>1074</v>
      </c>
      <c r="J63" s="558" t="s">
        <v>1075</v>
      </c>
      <c r="K63" s="558" t="s">
        <v>1076</v>
      </c>
      <c r="L63" s="562" t="s">
        <v>1077</v>
      </c>
      <c r="M63" s="558" t="s">
        <v>1198</v>
      </c>
      <c r="N63" s="563" t="s">
        <v>1199</v>
      </c>
      <c r="O63" s="558"/>
      <c r="P63" s="558"/>
      <c r="Q63" s="55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</row>
    <row r="64">
      <c r="A64" s="558" t="s">
        <v>1200</v>
      </c>
      <c r="B64" s="559">
        <v>45160.0</v>
      </c>
      <c r="C64" s="560">
        <v>45158.947916666664</v>
      </c>
      <c r="D64" s="561">
        <v>-29.2</v>
      </c>
      <c r="E64" s="558" t="s">
        <v>1071</v>
      </c>
      <c r="F64" s="558" t="s">
        <v>1072</v>
      </c>
      <c r="G64" s="558" t="s">
        <v>1073</v>
      </c>
      <c r="H64" s="558" t="s">
        <v>1051</v>
      </c>
      <c r="I64" s="558" t="s">
        <v>1074</v>
      </c>
      <c r="J64" s="558" t="s">
        <v>1075</v>
      </c>
      <c r="K64" s="558" t="s">
        <v>1076</v>
      </c>
      <c r="L64" s="562" t="s">
        <v>1077</v>
      </c>
      <c r="M64" s="558" t="s">
        <v>1201</v>
      </c>
      <c r="N64" s="563" t="s">
        <v>1202</v>
      </c>
      <c r="O64" s="558"/>
      <c r="P64" s="558"/>
      <c r="Q64" s="55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</row>
    <row r="65">
      <c r="A65" s="558" t="s">
        <v>1200</v>
      </c>
      <c r="B65" s="559">
        <v>45160.0</v>
      </c>
      <c r="C65" s="560">
        <v>45158.95208333333</v>
      </c>
      <c r="D65" s="561">
        <v>-502.46</v>
      </c>
      <c r="E65" s="558" t="s">
        <v>1071</v>
      </c>
      <c r="F65" s="558" t="s">
        <v>1072</v>
      </c>
      <c r="G65" s="558" t="s">
        <v>1073</v>
      </c>
      <c r="H65" s="558" t="s">
        <v>1051</v>
      </c>
      <c r="I65" s="558" t="s">
        <v>1074</v>
      </c>
      <c r="J65" s="558" t="s">
        <v>1075</v>
      </c>
      <c r="K65" s="558" t="s">
        <v>1076</v>
      </c>
      <c r="L65" s="562" t="s">
        <v>1077</v>
      </c>
      <c r="M65" s="558" t="s">
        <v>1203</v>
      </c>
      <c r="N65" s="563" t="s">
        <v>1204</v>
      </c>
      <c r="O65" s="558"/>
      <c r="P65" s="558"/>
      <c r="Q65" s="55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</row>
    <row r="66">
      <c r="A66" s="558" t="s">
        <v>1205</v>
      </c>
      <c r="B66" s="559">
        <v>45160.0</v>
      </c>
      <c r="C66" s="560">
        <v>45159.47777777778</v>
      </c>
      <c r="D66" s="561">
        <v>-33.06</v>
      </c>
      <c r="E66" s="558" t="s">
        <v>1071</v>
      </c>
      <c r="F66" s="558" t="s">
        <v>1072</v>
      </c>
      <c r="G66" s="558" t="s">
        <v>1073</v>
      </c>
      <c r="H66" s="558" t="s">
        <v>1051</v>
      </c>
      <c r="I66" s="558" t="s">
        <v>1074</v>
      </c>
      <c r="J66" s="558" t="s">
        <v>1075</v>
      </c>
      <c r="K66" s="558" t="s">
        <v>1076</v>
      </c>
      <c r="L66" s="562" t="s">
        <v>1077</v>
      </c>
      <c r="M66" s="558" t="s">
        <v>1206</v>
      </c>
      <c r="N66" s="563" t="s">
        <v>1207</v>
      </c>
      <c r="O66" s="558"/>
      <c r="P66" s="558"/>
      <c r="Q66" s="55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</row>
    <row r="67">
      <c r="A67" s="558" t="s">
        <v>1114</v>
      </c>
      <c r="B67" s="559">
        <v>45160.0</v>
      </c>
      <c r="C67" s="560">
        <v>45159.48263888889</v>
      </c>
      <c r="D67" s="561">
        <v>-46.62</v>
      </c>
      <c r="E67" s="558" t="s">
        <v>1071</v>
      </c>
      <c r="F67" s="558" t="s">
        <v>1072</v>
      </c>
      <c r="G67" s="558" t="s">
        <v>1073</v>
      </c>
      <c r="H67" s="558" t="s">
        <v>1051</v>
      </c>
      <c r="I67" s="558" t="s">
        <v>1074</v>
      </c>
      <c r="J67" s="558" t="s">
        <v>1075</v>
      </c>
      <c r="K67" s="558" t="s">
        <v>1076</v>
      </c>
      <c r="L67" s="562" t="s">
        <v>1077</v>
      </c>
      <c r="M67" s="558" t="s">
        <v>1208</v>
      </c>
      <c r="N67" s="563" t="s">
        <v>1209</v>
      </c>
      <c r="O67" s="558"/>
      <c r="P67" s="558"/>
      <c r="Q67" s="55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</row>
    <row r="68">
      <c r="A68" s="558" t="s">
        <v>1210</v>
      </c>
      <c r="B68" s="559">
        <v>45160.0</v>
      </c>
      <c r="C68" s="560">
        <v>45159.73541666667</v>
      </c>
      <c r="D68" s="561">
        <v>-84.28</v>
      </c>
      <c r="E68" s="558" t="s">
        <v>1071</v>
      </c>
      <c r="F68" s="558" t="s">
        <v>1072</v>
      </c>
      <c r="G68" s="558" t="s">
        <v>1073</v>
      </c>
      <c r="H68" s="558" t="s">
        <v>1051</v>
      </c>
      <c r="I68" s="558" t="s">
        <v>1074</v>
      </c>
      <c r="J68" s="558" t="s">
        <v>1075</v>
      </c>
      <c r="K68" s="558" t="s">
        <v>1076</v>
      </c>
      <c r="L68" s="562" t="s">
        <v>1077</v>
      </c>
      <c r="M68" s="558" t="s">
        <v>1211</v>
      </c>
      <c r="N68" s="563" t="s">
        <v>1212</v>
      </c>
      <c r="O68" s="558"/>
      <c r="P68" s="558"/>
      <c r="Q68" s="55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</row>
    <row r="69">
      <c r="A69" s="558" t="s">
        <v>1213</v>
      </c>
      <c r="B69" s="559">
        <v>45160.0</v>
      </c>
      <c r="C69" s="560">
        <v>45160.03402777778</v>
      </c>
      <c r="D69" s="561">
        <v>-553.67</v>
      </c>
      <c r="E69" s="558" t="s">
        <v>1071</v>
      </c>
      <c r="F69" s="558" t="s">
        <v>1072</v>
      </c>
      <c r="G69" s="558" t="s">
        <v>1073</v>
      </c>
      <c r="H69" s="558" t="s">
        <v>1051</v>
      </c>
      <c r="I69" s="558" t="s">
        <v>1074</v>
      </c>
      <c r="J69" s="558" t="s">
        <v>1075</v>
      </c>
      <c r="K69" s="558" t="s">
        <v>1076</v>
      </c>
      <c r="L69" s="562" t="s">
        <v>1077</v>
      </c>
      <c r="M69" s="558" t="s">
        <v>1214</v>
      </c>
      <c r="N69" s="563" t="s">
        <v>1215</v>
      </c>
      <c r="O69" s="558"/>
      <c r="P69" s="558"/>
      <c r="Q69" s="55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</row>
    <row r="70">
      <c r="A70" s="558" t="s">
        <v>1216</v>
      </c>
      <c r="B70" s="559">
        <v>45161.0</v>
      </c>
      <c r="C70" s="560">
        <v>45159.490277777775</v>
      </c>
      <c r="D70" s="561">
        <v>-527.54</v>
      </c>
      <c r="E70" s="558" t="s">
        <v>1071</v>
      </c>
      <c r="F70" s="558" t="s">
        <v>1072</v>
      </c>
      <c r="G70" s="558" t="s">
        <v>1073</v>
      </c>
      <c r="H70" s="558" t="s">
        <v>1051</v>
      </c>
      <c r="I70" s="558" t="s">
        <v>1074</v>
      </c>
      <c r="J70" s="558" t="s">
        <v>1075</v>
      </c>
      <c r="K70" s="558" t="s">
        <v>1076</v>
      </c>
      <c r="L70" s="562" t="s">
        <v>1077</v>
      </c>
      <c r="M70" s="558" t="s">
        <v>1217</v>
      </c>
      <c r="N70" s="563" t="s">
        <v>1218</v>
      </c>
      <c r="O70" s="558"/>
      <c r="P70" s="558"/>
      <c r="Q70" s="55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</row>
    <row r="71">
      <c r="A71" s="558" t="s">
        <v>1219</v>
      </c>
      <c r="B71" s="559">
        <v>45161.0</v>
      </c>
      <c r="C71" s="560">
        <v>45160.025</v>
      </c>
      <c r="D71" s="561">
        <v>-2171.91</v>
      </c>
      <c r="E71" s="558" t="s">
        <v>1071</v>
      </c>
      <c r="F71" s="558" t="s">
        <v>1072</v>
      </c>
      <c r="G71" s="558" t="s">
        <v>1073</v>
      </c>
      <c r="H71" s="558" t="s">
        <v>1051</v>
      </c>
      <c r="I71" s="558" t="s">
        <v>1074</v>
      </c>
      <c r="J71" s="558" t="s">
        <v>1075</v>
      </c>
      <c r="K71" s="558" t="s">
        <v>1076</v>
      </c>
      <c r="L71" s="562" t="s">
        <v>1077</v>
      </c>
      <c r="M71" s="558" t="s">
        <v>1214</v>
      </c>
      <c r="N71" s="563" t="s">
        <v>1220</v>
      </c>
      <c r="O71" s="558"/>
      <c r="P71" s="558"/>
      <c r="Q71" s="55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</row>
    <row r="72">
      <c r="A72" s="558" t="s">
        <v>1185</v>
      </c>
      <c r="B72" s="559">
        <v>45161.0</v>
      </c>
      <c r="C72" s="560">
        <v>45160.57708333333</v>
      </c>
      <c r="D72" s="561">
        <v>-81.02</v>
      </c>
      <c r="E72" s="558" t="s">
        <v>1071</v>
      </c>
      <c r="F72" s="558" t="s">
        <v>1072</v>
      </c>
      <c r="G72" s="558" t="s">
        <v>1073</v>
      </c>
      <c r="H72" s="558" t="s">
        <v>1051</v>
      </c>
      <c r="I72" s="558" t="s">
        <v>1074</v>
      </c>
      <c r="J72" s="558" t="s">
        <v>1075</v>
      </c>
      <c r="K72" s="558" t="s">
        <v>1076</v>
      </c>
      <c r="L72" s="562" t="s">
        <v>1077</v>
      </c>
      <c r="M72" s="558" t="s">
        <v>1221</v>
      </c>
      <c r="N72" s="563" t="s">
        <v>1222</v>
      </c>
      <c r="O72" s="558"/>
      <c r="P72" s="558"/>
      <c r="Q72" s="55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</row>
    <row r="73">
      <c r="A73" s="558" t="s">
        <v>1223</v>
      </c>
      <c r="B73" s="559">
        <v>45162.0</v>
      </c>
      <c r="C73" s="560">
        <v>45160.93263888889</v>
      </c>
      <c r="D73" s="561">
        <v>-36.11</v>
      </c>
      <c r="E73" s="558" t="s">
        <v>1071</v>
      </c>
      <c r="F73" s="558" t="s">
        <v>1072</v>
      </c>
      <c r="G73" s="558" t="s">
        <v>1073</v>
      </c>
      <c r="H73" s="558" t="s">
        <v>1051</v>
      </c>
      <c r="I73" s="558" t="s">
        <v>1074</v>
      </c>
      <c r="J73" s="558" t="s">
        <v>1075</v>
      </c>
      <c r="K73" s="558" t="s">
        <v>1076</v>
      </c>
      <c r="L73" s="562" t="s">
        <v>1077</v>
      </c>
      <c r="M73" s="558" t="s">
        <v>1224</v>
      </c>
      <c r="N73" s="563" t="s">
        <v>1225</v>
      </c>
      <c r="O73" s="558"/>
      <c r="P73" s="558"/>
      <c r="Q73" s="55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</row>
    <row r="74">
      <c r="A74" s="562" t="s">
        <v>1153</v>
      </c>
      <c r="B74" s="559">
        <v>45162.0</v>
      </c>
      <c r="C74" s="560">
        <v>45161.243055555555</v>
      </c>
      <c r="D74" s="561">
        <v>-2.99</v>
      </c>
      <c r="E74" s="558" t="s">
        <v>1071</v>
      </c>
      <c r="F74" s="558" t="s">
        <v>1072</v>
      </c>
      <c r="G74" s="558" t="s">
        <v>1073</v>
      </c>
      <c r="H74" s="558" t="s">
        <v>1051</v>
      </c>
      <c r="I74" s="558" t="s">
        <v>1074</v>
      </c>
      <c r="J74" s="558" t="s">
        <v>1075</v>
      </c>
      <c r="K74" s="558" t="s">
        <v>1076</v>
      </c>
      <c r="L74" s="562" t="s">
        <v>1077</v>
      </c>
      <c r="M74" s="558" t="s">
        <v>1226</v>
      </c>
      <c r="N74" s="563" t="s">
        <v>1227</v>
      </c>
      <c r="O74" s="558"/>
      <c r="P74" s="558"/>
      <c r="Q74" s="55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</row>
    <row r="75">
      <c r="A75" s="558" t="s">
        <v>1228</v>
      </c>
      <c r="B75" s="559">
        <v>45163.0</v>
      </c>
      <c r="C75" s="560">
        <v>45162.09097222222</v>
      </c>
      <c r="D75" s="561">
        <v>-249.63</v>
      </c>
      <c r="E75" s="558" t="s">
        <v>1071</v>
      </c>
      <c r="F75" s="558" t="s">
        <v>1072</v>
      </c>
      <c r="G75" s="558" t="s">
        <v>1073</v>
      </c>
      <c r="H75" s="558" t="s">
        <v>1051</v>
      </c>
      <c r="I75" s="558" t="s">
        <v>1074</v>
      </c>
      <c r="J75" s="558" t="s">
        <v>1075</v>
      </c>
      <c r="K75" s="558" t="s">
        <v>1076</v>
      </c>
      <c r="L75" s="562" t="s">
        <v>1077</v>
      </c>
      <c r="M75" s="558" t="s">
        <v>1229</v>
      </c>
      <c r="N75" s="563" t="s">
        <v>1230</v>
      </c>
      <c r="O75" s="558"/>
      <c r="P75" s="558"/>
      <c r="Q75" s="55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</row>
    <row r="76">
      <c r="A76" s="558" t="s">
        <v>1231</v>
      </c>
      <c r="B76" s="559">
        <v>45164.0</v>
      </c>
      <c r="C76" s="560">
        <v>45164.00625</v>
      </c>
      <c r="D76" s="561">
        <v>-127.52</v>
      </c>
      <c r="E76" s="558" t="s">
        <v>1071</v>
      </c>
      <c r="F76" s="558" t="s">
        <v>1072</v>
      </c>
      <c r="G76" s="558" t="s">
        <v>1073</v>
      </c>
      <c r="H76" s="558" t="s">
        <v>1051</v>
      </c>
      <c r="I76" s="558" t="s">
        <v>1074</v>
      </c>
      <c r="J76" s="558" t="s">
        <v>1075</v>
      </c>
      <c r="K76" s="558" t="s">
        <v>1076</v>
      </c>
      <c r="L76" s="562" t="s">
        <v>1077</v>
      </c>
      <c r="M76" s="558" t="s">
        <v>1232</v>
      </c>
      <c r="N76" s="563" t="s">
        <v>1233</v>
      </c>
      <c r="O76" s="558"/>
      <c r="P76" s="558"/>
      <c r="Q76" s="55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</row>
    <row r="77">
      <c r="A77" s="558" t="s">
        <v>1136</v>
      </c>
      <c r="B77" s="559">
        <v>45165.0</v>
      </c>
      <c r="C77" s="560">
        <v>45164.597916666666</v>
      </c>
      <c r="D77" s="561">
        <v>-80.79</v>
      </c>
      <c r="E77" s="558" t="s">
        <v>1071</v>
      </c>
      <c r="F77" s="558" t="s">
        <v>1072</v>
      </c>
      <c r="G77" s="558" t="s">
        <v>1073</v>
      </c>
      <c r="H77" s="558" t="s">
        <v>1051</v>
      </c>
      <c r="I77" s="558" t="s">
        <v>1074</v>
      </c>
      <c r="J77" s="558" t="s">
        <v>1075</v>
      </c>
      <c r="K77" s="558" t="s">
        <v>1076</v>
      </c>
      <c r="L77" s="562" t="s">
        <v>1077</v>
      </c>
      <c r="M77" s="558" t="s">
        <v>1234</v>
      </c>
      <c r="N77" s="563" t="s">
        <v>1235</v>
      </c>
      <c r="O77" s="558"/>
      <c r="P77" s="558"/>
      <c r="Q77" s="55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</row>
    <row r="78">
      <c r="A78" s="558" t="s">
        <v>1236</v>
      </c>
      <c r="B78" s="559">
        <v>45165.0</v>
      </c>
      <c r="C78" s="560">
        <v>45164.688888888886</v>
      </c>
      <c r="D78" s="561">
        <v>-8.88</v>
      </c>
      <c r="E78" s="558" t="s">
        <v>1071</v>
      </c>
      <c r="F78" s="558" t="s">
        <v>1072</v>
      </c>
      <c r="G78" s="558" t="s">
        <v>1073</v>
      </c>
      <c r="H78" s="558" t="s">
        <v>1051</v>
      </c>
      <c r="I78" s="558" t="s">
        <v>1074</v>
      </c>
      <c r="J78" s="558" t="s">
        <v>1075</v>
      </c>
      <c r="K78" s="558" t="s">
        <v>1076</v>
      </c>
      <c r="L78" s="562" t="s">
        <v>1077</v>
      </c>
      <c r="M78" s="558" t="s">
        <v>1234</v>
      </c>
      <c r="N78" s="563" t="s">
        <v>1237</v>
      </c>
      <c r="O78" s="558"/>
      <c r="P78" s="558"/>
      <c r="Q78" s="55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</row>
    <row r="79">
      <c r="A79" s="558" t="s">
        <v>1238</v>
      </c>
      <c r="B79" s="559">
        <v>45165.0</v>
      </c>
      <c r="C79" s="560">
        <v>45165.45277777778</v>
      </c>
      <c r="D79" s="561">
        <v>26.86</v>
      </c>
      <c r="E79" s="558" t="s">
        <v>1071</v>
      </c>
      <c r="F79" s="558" t="s">
        <v>1072</v>
      </c>
      <c r="G79" s="558" t="s">
        <v>1073</v>
      </c>
      <c r="H79" s="558" t="s">
        <v>1051</v>
      </c>
      <c r="I79" s="558" t="s">
        <v>1074</v>
      </c>
      <c r="J79" s="558" t="s">
        <v>1075</v>
      </c>
      <c r="K79" s="558" t="s">
        <v>1076</v>
      </c>
      <c r="L79" s="562" t="s">
        <v>1077</v>
      </c>
      <c r="M79" s="558" t="s">
        <v>1234</v>
      </c>
      <c r="N79" s="563" t="s">
        <v>1239</v>
      </c>
      <c r="O79" s="558"/>
      <c r="P79" s="558"/>
      <c r="Q79" s="55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</row>
    <row r="80">
      <c r="A80" s="558" t="s">
        <v>1240</v>
      </c>
      <c r="B80" s="559">
        <v>45167.0</v>
      </c>
      <c r="C80" s="560">
        <v>45165.83541666667</v>
      </c>
      <c r="D80" s="561">
        <v>-67.0</v>
      </c>
      <c r="E80" s="558" t="s">
        <v>1071</v>
      </c>
      <c r="F80" s="558" t="s">
        <v>1072</v>
      </c>
      <c r="G80" s="558" t="s">
        <v>1073</v>
      </c>
      <c r="H80" s="558" t="s">
        <v>1051</v>
      </c>
      <c r="I80" s="558" t="s">
        <v>1074</v>
      </c>
      <c r="J80" s="558" t="s">
        <v>1075</v>
      </c>
      <c r="K80" s="558" t="s">
        <v>1076</v>
      </c>
      <c r="L80" s="562" t="s">
        <v>1077</v>
      </c>
      <c r="M80" s="558" t="s">
        <v>1241</v>
      </c>
      <c r="N80" s="563" t="s">
        <v>1242</v>
      </c>
      <c r="O80" s="558"/>
      <c r="P80" s="558"/>
      <c r="Q80" s="55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</row>
    <row r="81">
      <c r="A81" s="558" t="s">
        <v>1070</v>
      </c>
      <c r="B81" s="559">
        <v>45167.0</v>
      </c>
      <c r="C81" s="560">
        <v>45166.83263888889</v>
      </c>
      <c r="D81" s="561">
        <v>-27.67</v>
      </c>
      <c r="E81" s="558" t="s">
        <v>1071</v>
      </c>
      <c r="F81" s="558" t="s">
        <v>1072</v>
      </c>
      <c r="G81" s="558" t="s">
        <v>1073</v>
      </c>
      <c r="H81" s="558" t="s">
        <v>1051</v>
      </c>
      <c r="I81" s="558" t="s">
        <v>1074</v>
      </c>
      <c r="J81" s="558" t="s">
        <v>1075</v>
      </c>
      <c r="K81" s="558" t="s">
        <v>1076</v>
      </c>
      <c r="L81" s="562" t="s">
        <v>1077</v>
      </c>
      <c r="M81" s="558" t="s">
        <v>1243</v>
      </c>
      <c r="N81" s="563" t="s">
        <v>1244</v>
      </c>
      <c r="O81" s="558"/>
      <c r="P81" s="558"/>
      <c r="Q81" s="55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</row>
    <row r="82">
      <c r="A82" s="562" t="s">
        <v>1153</v>
      </c>
      <c r="B82" s="559">
        <v>45168.0</v>
      </c>
      <c r="C82" s="560">
        <v>45167.361805555556</v>
      </c>
      <c r="D82" s="561">
        <v>-34.99</v>
      </c>
      <c r="E82" s="558" t="s">
        <v>1071</v>
      </c>
      <c r="F82" s="558" t="s">
        <v>1072</v>
      </c>
      <c r="G82" s="558" t="s">
        <v>1073</v>
      </c>
      <c r="H82" s="558" t="s">
        <v>1051</v>
      </c>
      <c r="I82" s="558" t="s">
        <v>1074</v>
      </c>
      <c r="J82" s="558" t="s">
        <v>1075</v>
      </c>
      <c r="K82" s="558" t="s">
        <v>1076</v>
      </c>
      <c r="L82" s="562" t="s">
        <v>1077</v>
      </c>
      <c r="M82" s="558" t="s">
        <v>1245</v>
      </c>
      <c r="N82" s="563" t="s">
        <v>1246</v>
      </c>
      <c r="O82" s="558"/>
      <c r="P82" s="558"/>
      <c r="Q82" s="55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</row>
    <row r="83">
      <c r="A83" s="558" t="s">
        <v>1247</v>
      </c>
      <c r="B83" s="559">
        <v>45168.0</v>
      </c>
      <c r="C83" s="560">
        <v>45167.68125</v>
      </c>
      <c r="D83" s="561">
        <v>-4.0</v>
      </c>
      <c r="E83" s="558" t="s">
        <v>1071</v>
      </c>
      <c r="F83" s="558" t="s">
        <v>1072</v>
      </c>
      <c r="G83" s="558" t="s">
        <v>1073</v>
      </c>
      <c r="H83" s="558" t="s">
        <v>1051</v>
      </c>
      <c r="I83" s="558" t="s">
        <v>1074</v>
      </c>
      <c r="J83" s="558" t="s">
        <v>1075</v>
      </c>
      <c r="K83" s="558" t="s">
        <v>1076</v>
      </c>
      <c r="L83" s="562" t="s">
        <v>1077</v>
      </c>
      <c r="M83" s="558" t="s">
        <v>1248</v>
      </c>
      <c r="N83" s="563" t="s">
        <v>1249</v>
      </c>
      <c r="O83" s="558"/>
      <c r="P83" s="558"/>
      <c r="Q83" s="55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</row>
    <row r="84">
      <c r="A84" s="558" t="s">
        <v>1085</v>
      </c>
      <c r="B84" s="559">
        <v>45169.0</v>
      </c>
      <c r="C84" s="560">
        <v>45168.120833333334</v>
      </c>
      <c r="D84" s="561">
        <v>-22.64</v>
      </c>
      <c r="E84" s="558" t="s">
        <v>1071</v>
      </c>
      <c r="F84" s="558" t="s">
        <v>1072</v>
      </c>
      <c r="G84" s="558" t="s">
        <v>1073</v>
      </c>
      <c r="H84" s="558" t="s">
        <v>1051</v>
      </c>
      <c r="I84" s="558" t="s">
        <v>1074</v>
      </c>
      <c r="J84" s="558" t="s">
        <v>1075</v>
      </c>
      <c r="K84" s="558" t="s">
        <v>1076</v>
      </c>
      <c r="L84" s="562" t="s">
        <v>1077</v>
      </c>
      <c r="M84" s="558" t="s">
        <v>1143</v>
      </c>
      <c r="N84" s="563" t="s">
        <v>1250</v>
      </c>
      <c r="O84" s="558"/>
      <c r="P84" s="558"/>
      <c r="Q84" s="55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</row>
    <row r="85">
      <c r="A85" s="558" t="s">
        <v>1185</v>
      </c>
      <c r="B85" s="559">
        <v>45169.0</v>
      </c>
      <c r="C85" s="560">
        <v>45168.76875</v>
      </c>
      <c r="D85" s="561">
        <v>-50.91</v>
      </c>
      <c r="E85" s="558" t="s">
        <v>1071</v>
      </c>
      <c r="F85" s="558" t="s">
        <v>1072</v>
      </c>
      <c r="G85" s="558" t="s">
        <v>1073</v>
      </c>
      <c r="H85" s="558" t="s">
        <v>1051</v>
      </c>
      <c r="I85" s="558" t="s">
        <v>1074</v>
      </c>
      <c r="J85" s="558" t="s">
        <v>1075</v>
      </c>
      <c r="K85" s="558" t="s">
        <v>1076</v>
      </c>
      <c r="L85" s="562" t="s">
        <v>1077</v>
      </c>
      <c r="M85" s="558" t="s">
        <v>1251</v>
      </c>
      <c r="N85" s="563" t="s">
        <v>1252</v>
      </c>
      <c r="O85" s="558"/>
      <c r="P85" s="558"/>
      <c r="Q85" s="55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</row>
    <row r="86">
      <c r="A86" s="558" t="s">
        <v>1253</v>
      </c>
      <c r="B86" s="559">
        <v>45139.0</v>
      </c>
      <c r="C86" s="560">
        <v>45138.49097222222</v>
      </c>
      <c r="D86" s="561">
        <v>-19.99</v>
      </c>
      <c r="E86" s="558" t="s">
        <v>1254</v>
      </c>
      <c r="F86" s="558" t="s">
        <v>1255</v>
      </c>
      <c r="G86" s="558" t="s">
        <v>1076</v>
      </c>
      <c r="H86" s="558" t="s">
        <v>1051</v>
      </c>
      <c r="I86" s="558" t="s">
        <v>1256</v>
      </c>
      <c r="J86" s="558" t="s">
        <v>1257</v>
      </c>
      <c r="K86" s="558" t="s">
        <v>1258</v>
      </c>
      <c r="L86" s="562" t="s">
        <v>1259</v>
      </c>
      <c r="M86" s="558"/>
      <c r="N86" s="563" t="s">
        <v>1260</v>
      </c>
      <c r="O86" s="558"/>
      <c r="P86" s="558"/>
      <c r="Q86" s="55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</row>
    <row r="87">
      <c r="A87" s="558" t="s">
        <v>1261</v>
      </c>
      <c r="B87" s="559">
        <v>45139.0</v>
      </c>
      <c r="C87" s="560">
        <v>45138.58472222222</v>
      </c>
      <c r="D87" s="561">
        <v>-6900.0</v>
      </c>
      <c r="E87" s="558" t="s">
        <v>1254</v>
      </c>
      <c r="F87" s="558" t="s">
        <v>1255</v>
      </c>
      <c r="G87" s="558" t="s">
        <v>1076</v>
      </c>
      <c r="H87" s="558" t="s">
        <v>1051</v>
      </c>
      <c r="I87" s="558" t="s">
        <v>1256</v>
      </c>
      <c r="J87" s="558" t="s">
        <v>1257</v>
      </c>
      <c r="K87" s="558" t="s">
        <v>1258</v>
      </c>
      <c r="L87" s="562" t="s">
        <v>1259</v>
      </c>
      <c r="M87" s="558" t="s">
        <v>1262</v>
      </c>
      <c r="N87" s="563" t="s">
        <v>1263</v>
      </c>
      <c r="O87" s="558"/>
      <c r="P87" s="558"/>
      <c r="Q87" s="55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</row>
    <row r="88">
      <c r="A88" s="562" t="s">
        <v>1264</v>
      </c>
      <c r="B88" s="559">
        <v>45139.0</v>
      </c>
      <c r="C88" s="560">
        <v>45139.152083333334</v>
      </c>
      <c r="D88" s="561">
        <v>-189.0</v>
      </c>
      <c r="E88" s="558" t="s">
        <v>1254</v>
      </c>
      <c r="F88" s="558" t="s">
        <v>1255</v>
      </c>
      <c r="G88" s="558" t="s">
        <v>1076</v>
      </c>
      <c r="H88" s="558" t="s">
        <v>1051</v>
      </c>
      <c r="I88" s="558" t="s">
        <v>1256</v>
      </c>
      <c r="J88" s="558" t="s">
        <v>1257</v>
      </c>
      <c r="K88" s="558" t="s">
        <v>1258</v>
      </c>
      <c r="L88" s="562" t="s">
        <v>1259</v>
      </c>
      <c r="M88" s="558" t="s">
        <v>1265</v>
      </c>
      <c r="N88" s="563" t="s">
        <v>1266</v>
      </c>
      <c r="O88" s="558"/>
      <c r="P88" s="558"/>
      <c r="Q88" s="55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</row>
    <row r="89">
      <c r="A89" s="558" t="s">
        <v>1267</v>
      </c>
      <c r="B89" s="559">
        <v>45139.0</v>
      </c>
      <c r="C89" s="560">
        <v>45139.46041666667</v>
      </c>
      <c r="D89" s="561">
        <v>1373.5</v>
      </c>
      <c r="E89" s="558" t="s">
        <v>1254</v>
      </c>
      <c r="F89" s="558" t="s">
        <v>1255</v>
      </c>
      <c r="G89" s="558" t="s">
        <v>1076</v>
      </c>
      <c r="H89" s="558" t="s">
        <v>1051</v>
      </c>
      <c r="I89" s="558" t="s">
        <v>1256</v>
      </c>
      <c r="J89" s="558" t="s">
        <v>1257</v>
      </c>
      <c r="K89" s="558" t="s">
        <v>1258</v>
      </c>
      <c r="L89" s="562" t="s">
        <v>1259</v>
      </c>
      <c r="M89" s="558" t="s">
        <v>1268</v>
      </c>
      <c r="N89" s="563" t="s">
        <v>1269</v>
      </c>
      <c r="O89" s="558"/>
      <c r="P89" s="558"/>
      <c r="Q89" s="55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</row>
    <row r="90">
      <c r="A90" s="558" t="s">
        <v>1270</v>
      </c>
      <c r="B90" s="559">
        <v>45140.0</v>
      </c>
      <c r="C90" s="560">
        <v>45139.001388888886</v>
      </c>
      <c r="D90" s="561">
        <v>-50.0</v>
      </c>
      <c r="E90" s="558" t="s">
        <v>1254</v>
      </c>
      <c r="F90" s="558" t="s">
        <v>1255</v>
      </c>
      <c r="G90" s="558" t="s">
        <v>1076</v>
      </c>
      <c r="H90" s="558" t="s">
        <v>1051</v>
      </c>
      <c r="I90" s="558" t="s">
        <v>1256</v>
      </c>
      <c r="J90" s="558" t="s">
        <v>1257</v>
      </c>
      <c r="K90" s="558" t="s">
        <v>1258</v>
      </c>
      <c r="L90" s="562" t="s">
        <v>1259</v>
      </c>
      <c r="M90" s="558" t="s">
        <v>1271</v>
      </c>
      <c r="N90" s="563" t="s">
        <v>1272</v>
      </c>
      <c r="O90" s="558"/>
      <c r="P90" s="558"/>
      <c r="Q90" s="55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</row>
    <row r="91">
      <c r="A91" s="558" t="s">
        <v>1270</v>
      </c>
      <c r="B91" s="559">
        <v>45140.0</v>
      </c>
      <c r="C91" s="560">
        <v>45139.02569444444</v>
      </c>
      <c r="D91" s="561">
        <v>-153.18</v>
      </c>
      <c r="E91" s="558" t="s">
        <v>1254</v>
      </c>
      <c r="F91" s="558" t="s">
        <v>1255</v>
      </c>
      <c r="G91" s="558" t="s">
        <v>1076</v>
      </c>
      <c r="H91" s="558" t="s">
        <v>1051</v>
      </c>
      <c r="I91" s="558" t="s">
        <v>1256</v>
      </c>
      <c r="J91" s="558" t="s">
        <v>1257</v>
      </c>
      <c r="K91" s="558" t="s">
        <v>1258</v>
      </c>
      <c r="L91" s="562" t="s">
        <v>1259</v>
      </c>
      <c r="M91" s="558" t="s">
        <v>1273</v>
      </c>
      <c r="N91" s="563" t="s">
        <v>1274</v>
      </c>
      <c r="O91" s="558"/>
      <c r="P91" s="558"/>
      <c r="Q91" s="55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</row>
    <row r="92">
      <c r="A92" s="562" t="s">
        <v>1275</v>
      </c>
      <c r="B92" s="559">
        <v>45140.0</v>
      </c>
      <c r="C92" s="560">
        <v>45139.256944444445</v>
      </c>
      <c r="D92" s="561">
        <v>-4005.0</v>
      </c>
      <c r="E92" s="558" t="s">
        <v>1254</v>
      </c>
      <c r="F92" s="558" t="s">
        <v>1255</v>
      </c>
      <c r="G92" s="558" t="s">
        <v>1076</v>
      </c>
      <c r="H92" s="558" t="s">
        <v>1051</v>
      </c>
      <c r="I92" s="558" t="s">
        <v>1256</v>
      </c>
      <c r="J92" s="558" t="s">
        <v>1257</v>
      </c>
      <c r="K92" s="558" t="s">
        <v>1258</v>
      </c>
      <c r="L92" s="562" t="s">
        <v>1259</v>
      </c>
      <c r="M92" s="558" t="s">
        <v>965</v>
      </c>
      <c r="N92" s="563" t="s">
        <v>1276</v>
      </c>
      <c r="O92" s="558"/>
      <c r="P92" s="558"/>
      <c r="Q92" s="55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</row>
    <row r="93">
      <c r="A93" s="558" t="s">
        <v>1261</v>
      </c>
      <c r="B93" s="559">
        <v>45140.0</v>
      </c>
      <c r="C93" s="560">
        <v>45139.77916666667</v>
      </c>
      <c r="D93" s="561">
        <v>-800.0</v>
      </c>
      <c r="E93" s="558" t="s">
        <v>1254</v>
      </c>
      <c r="F93" s="558" t="s">
        <v>1255</v>
      </c>
      <c r="G93" s="558" t="s">
        <v>1076</v>
      </c>
      <c r="H93" s="558" t="s">
        <v>1051</v>
      </c>
      <c r="I93" s="558" t="s">
        <v>1256</v>
      </c>
      <c r="J93" s="558" t="s">
        <v>1257</v>
      </c>
      <c r="K93" s="558" t="s">
        <v>1258</v>
      </c>
      <c r="L93" s="562" t="s">
        <v>1259</v>
      </c>
      <c r="M93" s="558" t="s">
        <v>1277</v>
      </c>
      <c r="N93" s="563" t="s">
        <v>1278</v>
      </c>
      <c r="O93" s="558"/>
      <c r="P93" s="558"/>
      <c r="Q93" s="55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</row>
    <row r="94">
      <c r="A94" s="558" t="s">
        <v>1279</v>
      </c>
      <c r="B94" s="559">
        <v>45140.0</v>
      </c>
      <c r="C94" s="560">
        <v>45138.38888888889</v>
      </c>
      <c r="D94" s="561">
        <v>-244.0</v>
      </c>
      <c r="E94" s="558" t="s">
        <v>1254</v>
      </c>
      <c r="F94" s="558" t="s">
        <v>1255</v>
      </c>
      <c r="G94" s="558" t="s">
        <v>1076</v>
      </c>
      <c r="H94" s="558" t="s">
        <v>1051</v>
      </c>
      <c r="I94" s="558" t="s">
        <v>1280</v>
      </c>
      <c r="J94" s="558" t="s">
        <v>1257</v>
      </c>
      <c r="K94" s="558" t="s">
        <v>1258</v>
      </c>
      <c r="L94" s="562" t="s">
        <v>1281</v>
      </c>
      <c r="M94" s="558" t="s">
        <v>1282</v>
      </c>
      <c r="N94" s="563" t="s">
        <v>1283</v>
      </c>
      <c r="O94" s="558"/>
      <c r="P94" s="558"/>
      <c r="Q94" s="55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</row>
    <row r="95">
      <c r="A95" s="558" t="s">
        <v>1284</v>
      </c>
      <c r="B95" s="559">
        <v>45140.0</v>
      </c>
      <c r="C95" s="560">
        <v>45139.91805555556</v>
      </c>
      <c r="D95" s="561">
        <v>-2400.0</v>
      </c>
      <c r="E95" s="558" t="s">
        <v>1254</v>
      </c>
      <c r="F95" s="558" t="s">
        <v>1255</v>
      </c>
      <c r="G95" s="558" t="s">
        <v>1076</v>
      </c>
      <c r="H95" s="558" t="s">
        <v>1051</v>
      </c>
      <c r="I95" s="558" t="s">
        <v>1280</v>
      </c>
      <c r="J95" s="558" t="s">
        <v>1257</v>
      </c>
      <c r="K95" s="558" t="s">
        <v>1258</v>
      </c>
      <c r="L95" s="562" t="s">
        <v>1281</v>
      </c>
      <c r="M95" s="558" t="s">
        <v>1285</v>
      </c>
      <c r="N95" s="563" t="s">
        <v>1286</v>
      </c>
      <c r="O95" s="558"/>
      <c r="P95" s="558"/>
      <c r="Q95" s="55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</row>
    <row r="96">
      <c r="A96" s="558" t="s">
        <v>1287</v>
      </c>
      <c r="B96" s="559">
        <v>45141.0</v>
      </c>
      <c r="C96" s="560">
        <v>45140.32013888889</v>
      </c>
      <c r="D96" s="561">
        <v>-621.36</v>
      </c>
      <c r="E96" s="558" t="s">
        <v>1254</v>
      </c>
      <c r="F96" s="558" t="s">
        <v>1255</v>
      </c>
      <c r="G96" s="558" t="s">
        <v>1076</v>
      </c>
      <c r="H96" s="558" t="s">
        <v>1051</v>
      </c>
      <c r="I96" s="558" t="s">
        <v>1280</v>
      </c>
      <c r="J96" s="558" t="s">
        <v>1257</v>
      </c>
      <c r="K96" s="558" t="s">
        <v>1258</v>
      </c>
      <c r="L96" s="562" t="s">
        <v>1281</v>
      </c>
      <c r="M96" s="558" t="s">
        <v>1288</v>
      </c>
      <c r="N96" s="563" t="s">
        <v>1289</v>
      </c>
      <c r="O96" s="558"/>
      <c r="P96" s="558"/>
      <c r="Q96" s="55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</row>
    <row r="97">
      <c r="A97" s="562" t="s">
        <v>1290</v>
      </c>
      <c r="B97" s="559">
        <v>45141.0</v>
      </c>
      <c r="C97" s="560">
        <v>45140.535416666666</v>
      </c>
      <c r="D97" s="561">
        <v>-59.0</v>
      </c>
      <c r="E97" s="558" t="s">
        <v>1254</v>
      </c>
      <c r="F97" s="558" t="s">
        <v>1255</v>
      </c>
      <c r="G97" s="558" t="s">
        <v>1076</v>
      </c>
      <c r="H97" s="558" t="s">
        <v>1051</v>
      </c>
      <c r="I97" s="558" t="s">
        <v>1280</v>
      </c>
      <c r="J97" s="558" t="s">
        <v>1257</v>
      </c>
      <c r="K97" s="558" t="s">
        <v>1258</v>
      </c>
      <c r="L97" s="562" t="s">
        <v>1281</v>
      </c>
      <c r="M97" s="558" t="s">
        <v>1291</v>
      </c>
      <c r="N97" s="563" t="s">
        <v>1292</v>
      </c>
      <c r="O97" s="558"/>
      <c r="P97" s="558"/>
      <c r="Q97" s="55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</row>
    <row r="98">
      <c r="A98" s="558" t="s">
        <v>1261</v>
      </c>
      <c r="B98" s="559">
        <v>45142.0</v>
      </c>
      <c r="C98" s="560">
        <v>45141.604166666664</v>
      </c>
      <c r="D98" s="561">
        <v>-600.0</v>
      </c>
      <c r="E98" s="558" t="s">
        <v>1254</v>
      </c>
      <c r="F98" s="558" t="s">
        <v>1255</v>
      </c>
      <c r="G98" s="558" t="s">
        <v>1076</v>
      </c>
      <c r="H98" s="558" t="s">
        <v>1051</v>
      </c>
      <c r="I98" s="558" t="s">
        <v>1280</v>
      </c>
      <c r="J98" s="558" t="s">
        <v>1257</v>
      </c>
      <c r="K98" s="558" t="s">
        <v>1258</v>
      </c>
      <c r="L98" s="562" t="s">
        <v>1281</v>
      </c>
      <c r="M98" s="558" t="s">
        <v>1293</v>
      </c>
      <c r="N98" s="563" t="s">
        <v>1294</v>
      </c>
      <c r="O98" s="558"/>
      <c r="P98" s="558"/>
      <c r="Q98" s="55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</row>
    <row r="99">
      <c r="A99" s="558" t="s">
        <v>1295</v>
      </c>
      <c r="B99" s="559">
        <v>45143.0</v>
      </c>
      <c r="C99" s="560">
        <v>45142.65</v>
      </c>
      <c r="D99" s="561">
        <v>-112.5</v>
      </c>
      <c r="E99" s="558" t="s">
        <v>1254</v>
      </c>
      <c r="F99" s="558" t="s">
        <v>1255</v>
      </c>
      <c r="G99" s="558" t="s">
        <v>1076</v>
      </c>
      <c r="H99" s="558" t="s">
        <v>1051</v>
      </c>
      <c r="I99" s="558" t="s">
        <v>1280</v>
      </c>
      <c r="J99" s="558" t="s">
        <v>1257</v>
      </c>
      <c r="K99" s="558" t="s">
        <v>1258</v>
      </c>
      <c r="L99" s="562" t="s">
        <v>1281</v>
      </c>
      <c r="M99" s="558" t="s">
        <v>1296</v>
      </c>
      <c r="N99" s="563" t="s">
        <v>1297</v>
      </c>
      <c r="O99" s="558"/>
      <c r="P99" s="558"/>
      <c r="Q99" s="55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</row>
    <row r="100">
      <c r="A100" s="558" t="s">
        <v>1298</v>
      </c>
      <c r="B100" s="559">
        <v>45145.0</v>
      </c>
      <c r="C100" s="560">
        <v>45144.336805555555</v>
      </c>
      <c r="D100" s="561">
        <v>-168.0</v>
      </c>
      <c r="E100" s="558" t="s">
        <v>1254</v>
      </c>
      <c r="F100" s="558" t="s">
        <v>1255</v>
      </c>
      <c r="G100" s="558" t="s">
        <v>1076</v>
      </c>
      <c r="H100" s="558" t="s">
        <v>1051</v>
      </c>
      <c r="I100" s="558" t="s">
        <v>1280</v>
      </c>
      <c r="J100" s="558" t="s">
        <v>1257</v>
      </c>
      <c r="K100" s="558" t="s">
        <v>1258</v>
      </c>
      <c r="L100" s="562" t="s">
        <v>1281</v>
      </c>
      <c r="M100" s="558" t="s">
        <v>1288</v>
      </c>
      <c r="N100" s="563" t="s">
        <v>1299</v>
      </c>
      <c r="O100" s="558"/>
      <c r="P100" s="558"/>
      <c r="Q100" s="55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</row>
    <row r="101">
      <c r="A101" s="558" t="s">
        <v>1300</v>
      </c>
      <c r="B101" s="559">
        <v>45146.0</v>
      </c>
      <c r="C101" s="560">
        <v>45145.60625</v>
      </c>
      <c r="D101" s="561">
        <v>-99.0</v>
      </c>
      <c r="E101" s="558" t="s">
        <v>1254</v>
      </c>
      <c r="F101" s="558" t="s">
        <v>1255</v>
      </c>
      <c r="G101" s="558" t="s">
        <v>1076</v>
      </c>
      <c r="H101" s="558" t="s">
        <v>1051</v>
      </c>
      <c r="I101" s="558" t="s">
        <v>1280</v>
      </c>
      <c r="J101" s="558" t="s">
        <v>1257</v>
      </c>
      <c r="K101" s="558" t="s">
        <v>1258</v>
      </c>
      <c r="L101" s="562" t="s">
        <v>1281</v>
      </c>
      <c r="M101" s="558" t="s">
        <v>1301</v>
      </c>
      <c r="N101" s="563" t="s">
        <v>1302</v>
      </c>
      <c r="O101" s="558"/>
      <c r="P101" s="558"/>
      <c r="Q101" s="55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</row>
    <row r="102">
      <c r="A102" s="558" t="s">
        <v>1300</v>
      </c>
      <c r="B102" s="559">
        <v>45146.0</v>
      </c>
      <c r="C102" s="560">
        <v>45145.60763888889</v>
      </c>
      <c r="D102" s="561">
        <v>-99.0</v>
      </c>
      <c r="E102" s="558" t="s">
        <v>1254</v>
      </c>
      <c r="F102" s="558" t="s">
        <v>1255</v>
      </c>
      <c r="G102" s="558" t="s">
        <v>1076</v>
      </c>
      <c r="H102" s="558" t="s">
        <v>1051</v>
      </c>
      <c r="I102" s="558" t="s">
        <v>1280</v>
      </c>
      <c r="J102" s="558" t="s">
        <v>1257</v>
      </c>
      <c r="K102" s="558" t="s">
        <v>1258</v>
      </c>
      <c r="L102" s="562" t="s">
        <v>1281</v>
      </c>
      <c r="M102" s="558" t="s">
        <v>1301</v>
      </c>
      <c r="N102" s="563" t="s">
        <v>1303</v>
      </c>
      <c r="O102" s="558"/>
      <c r="P102" s="558"/>
      <c r="Q102" s="55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</row>
    <row r="103">
      <c r="A103" s="558" t="s">
        <v>1300</v>
      </c>
      <c r="B103" s="559">
        <v>45146.0</v>
      </c>
      <c r="C103" s="560">
        <v>45145.61875</v>
      </c>
      <c r="D103" s="561">
        <v>-99.0</v>
      </c>
      <c r="E103" s="558" t="s">
        <v>1254</v>
      </c>
      <c r="F103" s="558" t="s">
        <v>1255</v>
      </c>
      <c r="G103" s="558" t="s">
        <v>1076</v>
      </c>
      <c r="H103" s="558" t="s">
        <v>1051</v>
      </c>
      <c r="I103" s="558" t="s">
        <v>1280</v>
      </c>
      <c r="J103" s="558" t="s">
        <v>1257</v>
      </c>
      <c r="K103" s="558" t="s">
        <v>1258</v>
      </c>
      <c r="L103" s="562" t="s">
        <v>1281</v>
      </c>
      <c r="M103" s="558" t="s">
        <v>1301</v>
      </c>
      <c r="N103" s="563" t="s">
        <v>1304</v>
      </c>
      <c r="O103" s="558"/>
      <c r="P103" s="558"/>
      <c r="Q103" s="55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</row>
    <row r="104">
      <c r="A104" s="558" t="s">
        <v>1068</v>
      </c>
      <c r="B104" s="559">
        <v>45146.0</v>
      </c>
      <c r="C104" s="560">
        <v>45145.67222222222</v>
      </c>
      <c r="D104" s="561">
        <v>-10.31</v>
      </c>
      <c r="E104" s="558" t="s">
        <v>1254</v>
      </c>
      <c r="F104" s="558" t="s">
        <v>1255</v>
      </c>
      <c r="G104" s="558" t="s">
        <v>1076</v>
      </c>
      <c r="H104" s="558" t="s">
        <v>1051</v>
      </c>
      <c r="I104" s="558" t="s">
        <v>1280</v>
      </c>
      <c r="J104" s="558" t="s">
        <v>1257</v>
      </c>
      <c r="K104" s="558" t="s">
        <v>1258</v>
      </c>
      <c r="L104" s="562" t="s">
        <v>1281</v>
      </c>
      <c r="M104" s="558" t="s">
        <v>1305</v>
      </c>
      <c r="N104" s="563" t="s">
        <v>1306</v>
      </c>
      <c r="O104" s="558"/>
      <c r="P104" s="558"/>
      <c r="Q104" s="55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</row>
    <row r="105">
      <c r="A105" s="558" t="s">
        <v>1307</v>
      </c>
      <c r="B105" s="559">
        <v>45147.0</v>
      </c>
      <c r="C105" s="560">
        <v>45145.60138888889</v>
      </c>
      <c r="D105" s="561">
        <v>-239.0</v>
      </c>
      <c r="E105" s="558" t="s">
        <v>1254</v>
      </c>
      <c r="F105" s="558" t="s">
        <v>1255</v>
      </c>
      <c r="G105" s="558" t="s">
        <v>1076</v>
      </c>
      <c r="H105" s="558" t="s">
        <v>1051</v>
      </c>
      <c r="I105" s="558" t="s">
        <v>1280</v>
      </c>
      <c r="J105" s="558" t="s">
        <v>1257</v>
      </c>
      <c r="K105" s="558" t="s">
        <v>1258</v>
      </c>
      <c r="L105" s="562" t="s">
        <v>1281</v>
      </c>
      <c r="M105" s="558" t="s">
        <v>1308</v>
      </c>
      <c r="N105" s="563" t="s">
        <v>1309</v>
      </c>
      <c r="O105" s="558"/>
      <c r="P105" s="558"/>
      <c r="Q105" s="55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</row>
    <row r="106">
      <c r="A106" s="558" t="s">
        <v>1068</v>
      </c>
      <c r="B106" s="559">
        <v>45148.0</v>
      </c>
      <c r="C106" s="560">
        <v>45147.569444444445</v>
      </c>
      <c r="D106" s="561">
        <v>-12.06</v>
      </c>
      <c r="E106" s="558" t="s">
        <v>1254</v>
      </c>
      <c r="F106" s="558" t="s">
        <v>1255</v>
      </c>
      <c r="G106" s="558" t="s">
        <v>1076</v>
      </c>
      <c r="H106" s="558" t="s">
        <v>1051</v>
      </c>
      <c r="I106" s="558" t="s">
        <v>1280</v>
      </c>
      <c r="J106" s="558" t="s">
        <v>1257</v>
      </c>
      <c r="K106" s="558" t="s">
        <v>1258</v>
      </c>
      <c r="L106" s="562" t="s">
        <v>1281</v>
      </c>
      <c r="M106" s="558" t="s">
        <v>1305</v>
      </c>
      <c r="N106" s="563" t="s">
        <v>1310</v>
      </c>
      <c r="O106" s="558"/>
      <c r="P106" s="558"/>
      <c r="Q106" s="55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</row>
    <row r="107">
      <c r="A107" s="558" t="s">
        <v>1300</v>
      </c>
      <c r="B107" s="559">
        <v>45148.0</v>
      </c>
      <c r="C107" s="560">
        <v>45147.606944444444</v>
      </c>
      <c r="D107" s="561">
        <v>-99.0</v>
      </c>
      <c r="E107" s="558" t="s">
        <v>1254</v>
      </c>
      <c r="F107" s="558" t="s">
        <v>1255</v>
      </c>
      <c r="G107" s="558" t="s">
        <v>1076</v>
      </c>
      <c r="H107" s="558" t="s">
        <v>1051</v>
      </c>
      <c r="I107" s="558" t="s">
        <v>1280</v>
      </c>
      <c r="J107" s="558" t="s">
        <v>1257</v>
      </c>
      <c r="K107" s="558" t="s">
        <v>1258</v>
      </c>
      <c r="L107" s="562" t="s">
        <v>1281</v>
      </c>
      <c r="M107" s="558" t="s">
        <v>1311</v>
      </c>
      <c r="N107" s="563" t="s">
        <v>1312</v>
      </c>
      <c r="O107" s="558"/>
      <c r="P107" s="558"/>
      <c r="Q107" s="55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</row>
    <row r="108">
      <c r="A108" s="558" t="s">
        <v>1300</v>
      </c>
      <c r="B108" s="559">
        <v>45148.0</v>
      </c>
      <c r="C108" s="560">
        <v>45147.60555555556</v>
      </c>
      <c r="D108" s="561">
        <v>-99.0</v>
      </c>
      <c r="E108" s="558" t="s">
        <v>1254</v>
      </c>
      <c r="F108" s="558" t="s">
        <v>1255</v>
      </c>
      <c r="G108" s="558" t="s">
        <v>1076</v>
      </c>
      <c r="H108" s="558" t="s">
        <v>1051</v>
      </c>
      <c r="I108" s="558" t="s">
        <v>1280</v>
      </c>
      <c r="J108" s="558" t="s">
        <v>1257</v>
      </c>
      <c r="K108" s="558" t="s">
        <v>1258</v>
      </c>
      <c r="L108" s="562" t="s">
        <v>1281</v>
      </c>
      <c r="M108" s="558" t="s">
        <v>1301</v>
      </c>
      <c r="N108" s="563" t="s">
        <v>1313</v>
      </c>
      <c r="O108" s="558"/>
      <c r="P108" s="558"/>
      <c r="Q108" s="55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</row>
    <row r="109">
      <c r="A109" s="558" t="s">
        <v>1300</v>
      </c>
      <c r="B109" s="559">
        <v>45148.0</v>
      </c>
      <c r="C109" s="560">
        <v>45147.60625</v>
      </c>
      <c r="D109" s="561">
        <v>-99.0</v>
      </c>
      <c r="E109" s="558" t="s">
        <v>1254</v>
      </c>
      <c r="F109" s="558" t="s">
        <v>1255</v>
      </c>
      <c r="G109" s="558" t="s">
        <v>1076</v>
      </c>
      <c r="H109" s="558" t="s">
        <v>1051</v>
      </c>
      <c r="I109" s="558" t="s">
        <v>1280</v>
      </c>
      <c r="J109" s="558" t="s">
        <v>1257</v>
      </c>
      <c r="K109" s="558" t="s">
        <v>1258</v>
      </c>
      <c r="L109" s="562" t="s">
        <v>1281</v>
      </c>
      <c r="M109" s="558" t="s">
        <v>1301</v>
      </c>
      <c r="N109" s="563" t="s">
        <v>1314</v>
      </c>
      <c r="O109" s="558"/>
      <c r="P109" s="558"/>
      <c r="Q109" s="55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</row>
    <row r="110">
      <c r="A110" s="558" t="s">
        <v>1315</v>
      </c>
      <c r="B110" s="559">
        <v>45148.0</v>
      </c>
      <c r="C110" s="560">
        <v>45147.754166666666</v>
      </c>
      <c r="D110" s="561">
        <v>-1247.28</v>
      </c>
      <c r="E110" s="558" t="s">
        <v>1254</v>
      </c>
      <c r="F110" s="558" t="s">
        <v>1255</v>
      </c>
      <c r="G110" s="558" t="s">
        <v>1076</v>
      </c>
      <c r="H110" s="558" t="s">
        <v>1051</v>
      </c>
      <c r="I110" s="558" t="s">
        <v>1280</v>
      </c>
      <c r="J110" s="558" t="s">
        <v>1257</v>
      </c>
      <c r="K110" s="558" t="s">
        <v>1258</v>
      </c>
      <c r="L110" s="562" t="s">
        <v>1281</v>
      </c>
      <c r="M110" s="558" t="s">
        <v>1316</v>
      </c>
      <c r="N110" s="563" t="s">
        <v>1317</v>
      </c>
      <c r="O110" s="558"/>
      <c r="P110" s="558"/>
      <c r="Q110" s="55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</row>
    <row r="111">
      <c r="A111" s="558" t="s">
        <v>1318</v>
      </c>
      <c r="B111" s="559">
        <v>45148.0</v>
      </c>
      <c r="C111" s="560">
        <v>45147.90833333333</v>
      </c>
      <c r="D111" s="561">
        <v>-1199.2</v>
      </c>
      <c r="E111" s="558" t="s">
        <v>1254</v>
      </c>
      <c r="F111" s="558" t="s">
        <v>1255</v>
      </c>
      <c r="G111" s="558" t="s">
        <v>1076</v>
      </c>
      <c r="H111" s="558" t="s">
        <v>1051</v>
      </c>
      <c r="I111" s="558" t="s">
        <v>1319</v>
      </c>
      <c r="J111" s="558" t="s">
        <v>1053</v>
      </c>
      <c r="K111" s="558"/>
      <c r="L111" s="562" t="s">
        <v>1320</v>
      </c>
      <c r="M111" s="558" t="s">
        <v>1321</v>
      </c>
      <c r="N111" s="563" t="s">
        <v>1322</v>
      </c>
      <c r="O111" s="558"/>
      <c r="P111" s="558"/>
      <c r="Q111" s="55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</row>
    <row r="112">
      <c r="A112" s="558" t="s">
        <v>1318</v>
      </c>
      <c r="B112" s="559">
        <v>45148.0</v>
      </c>
      <c r="C112" s="560">
        <v>45147.90833333333</v>
      </c>
      <c r="D112" s="561">
        <v>-1199.2</v>
      </c>
      <c r="E112" s="558" t="s">
        <v>1254</v>
      </c>
      <c r="F112" s="558" t="s">
        <v>1255</v>
      </c>
      <c r="G112" s="558" t="s">
        <v>1076</v>
      </c>
      <c r="H112" s="558" t="s">
        <v>1051</v>
      </c>
      <c r="I112" s="558" t="s">
        <v>1319</v>
      </c>
      <c r="J112" s="558" t="s">
        <v>1053</v>
      </c>
      <c r="K112" s="558"/>
      <c r="L112" s="562" t="s">
        <v>1320</v>
      </c>
      <c r="M112" s="558" t="s">
        <v>1323</v>
      </c>
      <c r="N112" s="563" t="s">
        <v>1322</v>
      </c>
      <c r="O112" s="558"/>
      <c r="P112" s="558"/>
      <c r="Q112" s="55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</row>
    <row r="113">
      <c r="A113" s="558" t="s">
        <v>1324</v>
      </c>
      <c r="B113" s="559">
        <v>45149.0</v>
      </c>
      <c r="C113" s="560">
        <v>45148.59722222222</v>
      </c>
      <c r="D113" s="561">
        <v>-65.0</v>
      </c>
      <c r="E113" s="558" t="s">
        <v>1254</v>
      </c>
      <c r="F113" s="558" t="s">
        <v>1255</v>
      </c>
      <c r="G113" s="558" t="s">
        <v>1076</v>
      </c>
      <c r="H113" s="558" t="s">
        <v>1051</v>
      </c>
      <c r="I113" s="558" t="s">
        <v>1280</v>
      </c>
      <c r="J113" s="558" t="s">
        <v>1257</v>
      </c>
      <c r="K113" s="558" t="s">
        <v>1258</v>
      </c>
      <c r="L113" s="562" t="s">
        <v>1281</v>
      </c>
      <c r="M113" s="558" t="s">
        <v>1325</v>
      </c>
      <c r="N113" s="563" t="s">
        <v>1326</v>
      </c>
      <c r="O113" s="558"/>
      <c r="P113" s="558"/>
      <c r="Q113" s="55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</row>
    <row r="114">
      <c r="A114" s="558" t="s">
        <v>1318</v>
      </c>
      <c r="B114" s="559">
        <v>45149.0</v>
      </c>
      <c r="C114" s="560">
        <v>45148.583333333336</v>
      </c>
      <c r="D114" s="561">
        <v>-597.97</v>
      </c>
      <c r="E114" s="558" t="s">
        <v>1254</v>
      </c>
      <c r="F114" s="558" t="s">
        <v>1255</v>
      </c>
      <c r="G114" s="558" t="s">
        <v>1076</v>
      </c>
      <c r="H114" s="558" t="s">
        <v>1051</v>
      </c>
      <c r="I114" s="558" t="s">
        <v>1319</v>
      </c>
      <c r="J114" s="558" t="s">
        <v>1053</v>
      </c>
      <c r="K114" s="558"/>
      <c r="L114" s="562" t="s">
        <v>1320</v>
      </c>
      <c r="M114" s="558" t="s">
        <v>1321</v>
      </c>
      <c r="N114" s="563" t="s">
        <v>1327</v>
      </c>
      <c r="O114" s="558"/>
      <c r="P114" s="558"/>
      <c r="Q114" s="55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</row>
    <row r="115">
      <c r="A115" s="562" t="s">
        <v>1328</v>
      </c>
      <c r="B115" s="559">
        <v>45149.0</v>
      </c>
      <c r="C115" s="560">
        <v>45148.59583333333</v>
      </c>
      <c r="D115" s="561">
        <v>-1215.0</v>
      </c>
      <c r="E115" s="558" t="s">
        <v>1254</v>
      </c>
      <c r="F115" s="558" t="s">
        <v>1255</v>
      </c>
      <c r="G115" s="558" t="s">
        <v>1076</v>
      </c>
      <c r="H115" s="558" t="s">
        <v>1051</v>
      </c>
      <c r="I115" s="558" t="s">
        <v>1319</v>
      </c>
      <c r="J115" s="558" t="s">
        <v>1053</v>
      </c>
      <c r="K115" s="558"/>
      <c r="L115" s="562" t="s">
        <v>1320</v>
      </c>
      <c r="M115" s="558"/>
      <c r="N115" s="563" t="s">
        <v>1329</v>
      </c>
      <c r="O115" s="558"/>
      <c r="P115" s="558"/>
      <c r="Q115" s="55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</row>
    <row r="116">
      <c r="A116" s="558" t="s">
        <v>1330</v>
      </c>
      <c r="B116" s="559">
        <v>45150.0</v>
      </c>
      <c r="C116" s="560">
        <v>45148.589583333334</v>
      </c>
      <c r="D116" s="561">
        <v>-75.0</v>
      </c>
      <c r="E116" s="558" t="s">
        <v>1254</v>
      </c>
      <c r="F116" s="558" t="s">
        <v>1255</v>
      </c>
      <c r="G116" s="558" t="s">
        <v>1076</v>
      </c>
      <c r="H116" s="558" t="s">
        <v>1051</v>
      </c>
      <c r="I116" s="558" t="s">
        <v>1280</v>
      </c>
      <c r="J116" s="558" t="s">
        <v>1257</v>
      </c>
      <c r="K116" s="558" t="s">
        <v>1258</v>
      </c>
      <c r="L116" s="562" t="s">
        <v>1281</v>
      </c>
      <c r="M116" s="558" t="s">
        <v>1331</v>
      </c>
      <c r="N116" s="563" t="s">
        <v>1332</v>
      </c>
      <c r="O116" s="558"/>
      <c r="P116" s="558"/>
      <c r="Q116" s="55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</row>
    <row r="117">
      <c r="A117" s="558" t="s">
        <v>1333</v>
      </c>
      <c r="B117" s="559">
        <v>45151.0</v>
      </c>
      <c r="C117" s="560">
        <v>45150.71805555555</v>
      </c>
      <c r="D117" s="561">
        <v>-70.43</v>
      </c>
      <c r="E117" s="558" t="s">
        <v>1254</v>
      </c>
      <c r="F117" s="558" t="s">
        <v>1255</v>
      </c>
      <c r="G117" s="558" t="s">
        <v>1076</v>
      </c>
      <c r="H117" s="558" t="s">
        <v>1051</v>
      </c>
      <c r="I117" s="558" t="s">
        <v>1280</v>
      </c>
      <c r="J117" s="558" t="s">
        <v>1257</v>
      </c>
      <c r="K117" s="558" t="s">
        <v>1258</v>
      </c>
      <c r="L117" s="562" t="s">
        <v>1281</v>
      </c>
      <c r="M117" s="558" t="s">
        <v>1334</v>
      </c>
      <c r="N117" s="563" t="s">
        <v>1335</v>
      </c>
      <c r="O117" s="558"/>
      <c r="P117" s="558"/>
      <c r="Q117" s="55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</row>
    <row r="118">
      <c r="A118" s="558" t="s">
        <v>1336</v>
      </c>
      <c r="B118" s="559">
        <v>45153.0</v>
      </c>
      <c r="C118" s="560">
        <v>45152.95694444444</v>
      </c>
      <c r="D118" s="561">
        <v>-1764.0</v>
      </c>
      <c r="E118" s="558" t="s">
        <v>1254</v>
      </c>
      <c r="F118" s="558" t="s">
        <v>1255</v>
      </c>
      <c r="G118" s="558" t="s">
        <v>1076</v>
      </c>
      <c r="H118" s="558" t="s">
        <v>1051</v>
      </c>
      <c r="I118" s="558" t="s">
        <v>1280</v>
      </c>
      <c r="J118" s="558" t="s">
        <v>1257</v>
      </c>
      <c r="K118" s="558" t="s">
        <v>1258</v>
      </c>
      <c r="L118" s="562" t="s">
        <v>1281</v>
      </c>
      <c r="M118" s="558" t="s">
        <v>1337</v>
      </c>
      <c r="N118" s="563" t="s">
        <v>1338</v>
      </c>
      <c r="O118" s="558"/>
      <c r="P118" s="558"/>
      <c r="Q118" s="55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</row>
    <row r="119">
      <c r="A119" s="558" t="s">
        <v>1339</v>
      </c>
      <c r="B119" s="559">
        <v>45153.0</v>
      </c>
      <c r="C119" s="560">
        <v>45153.44513888889</v>
      </c>
      <c r="D119" s="561">
        <v>529.0</v>
      </c>
      <c r="E119" s="558" t="s">
        <v>1254</v>
      </c>
      <c r="F119" s="558" t="s">
        <v>1255</v>
      </c>
      <c r="G119" s="558" t="s">
        <v>1076</v>
      </c>
      <c r="H119" s="558" t="s">
        <v>1051</v>
      </c>
      <c r="I119" s="558" t="s">
        <v>1280</v>
      </c>
      <c r="J119" s="558" t="s">
        <v>1257</v>
      </c>
      <c r="K119" s="558" t="s">
        <v>1258</v>
      </c>
      <c r="L119" s="562" t="s">
        <v>1281</v>
      </c>
      <c r="M119" s="558" t="s">
        <v>1340</v>
      </c>
      <c r="N119" s="563" t="s">
        <v>1341</v>
      </c>
      <c r="O119" s="558"/>
      <c r="P119" s="558"/>
      <c r="Q119" s="55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</row>
    <row r="120">
      <c r="A120" s="558" t="s">
        <v>1300</v>
      </c>
      <c r="B120" s="559">
        <v>45154.0</v>
      </c>
      <c r="C120" s="560">
        <v>45153.88333333333</v>
      </c>
      <c r="D120" s="561">
        <v>-99.0</v>
      </c>
      <c r="E120" s="558" t="s">
        <v>1254</v>
      </c>
      <c r="F120" s="558" t="s">
        <v>1255</v>
      </c>
      <c r="G120" s="558" t="s">
        <v>1076</v>
      </c>
      <c r="H120" s="558" t="s">
        <v>1051</v>
      </c>
      <c r="I120" s="558" t="s">
        <v>1280</v>
      </c>
      <c r="J120" s="558" t="s">
        <v>1257</v>
      </c>
      <c r="K120" s="558" t="s">
        <v>1258</v>
      </c>
      <c r="L120" s="562" t="s">
        <v>1281</v>
      </c>
      <c r="M120" s="558" t="s">
        <v>1311</v>
      </c>
      <c r="N120" s="563" t="s">
        <v>1342</v>
      </c>
      <c r="O120" s="558"/>
      <c r="P120" s="558"/>
      <c r="Q120" s="55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</row>
    <row r="121">
      <c r="A121" s="558" t="s">
        <v>1295</v>
      </c>
      <c r="B121" s="559">
        <v>45161.0</v>
      </c>
      <c r="C121" s="560">
        <v>45160.467361111114</v>
      </c>
      <c r="D121" s="561">
        <v>-112.5</v>
      </c>
      <c r="E121" s="558" t="s">
        <v>1254</v>
      </c>
      <c r="F121" s="558" t="s">
        <v>1255</v>
      </c>
      <c r="G121" s="558" t="s">
        <v>1076</v>
      </c>
      <c r="H121" s="558" t="s">
        <v>1051</v>
      </c>
      <c r="I121" s="558" t="s">
        <v>1280</v>
      </c>
      <c r="J121" s="558" t="s">
        <v>1257</v>
      </c>
      <c r="K121" s="558" t="s">
        <v>1258</v>
      </c>
      <c r="L121" s="562" t="s">
        <v>1281</v>
      </c>
      <c r="M121" s="558" t="s">
        <v>1343</v>
      </c>
      <c r="N121" s="563" t="s">
        <v>1344</v>
      </c>
      <c r="O121" s="558"/>
      <c r="P121" s="558"/>
      <c r="Q121" s="55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</row>
    <row r="122">
      <c r="A122" s="558" t="s">
        <v>1345</v>
      </c>
      <c r="B122" s="559">
        <v>45161.0</v>
      </c>
      <c r="C122" s="560">
        <v>45160.540972222225</v>
      </c>
      <c r="D122" s="561">
        <v>-18.99</v>
      </c>
      <c r="E122" s="558" t="s">
        <v>1254</v>
      </c>
      <c r="F122" s="558" t="s">
        <v>1255</v>
      </c>
      <c r="G122" s="558" t="s">
        <v>1076</v>
      </c>
      <c r="H122" s="558" t="s">
        <v>1051</v>
      </c>
      <c r="I122" s="558" t="s">
        <v>1280</v>
      </c>
      <c r="J122" s="558" t="s">
        <v>1257</v>
      </c>
      <c r="K122" s="558" t="s">
        <v>1258</v>
      </c>
      <c r="L122" s="562" t="s">
        <v>1281</v>
      </c>
      <c r="M122" s="558" t="s">
        <v>1346</v>
      </c>
      <c r="N122" s="563" t="s">
        <v>1347</v>
      </c>
      <c r="O122" s="558"/>
      <c r="P122" s="558"/>
      <c r="Q122" s="55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</row>
    <row r="123">
      <c r="A123" s="558" t="s">
        <v>1295</v>
      </c>
      <c r="B123" s="559">
        <v>45161.0</v>
      </c>
      <c r="C123" s="560">
        <v>45160.59583333333</v>
      </c>
      <c r="D123" s="561">
        <v>-150.0</v>
      </c>
      <c r="E123" s="558" t="s">
        <v>1254</v>
      </c>
      <c r="F123" s="558" t="s">
        <v>1255</v>
      </c>
      <c r="G123" s="558" t="s">
        <v>1076</v>
      </c>
      <c r="H123" s="558" t="s">
        <v>1051</v>
      </c>
      <c r="I123" s="558" t="s">
        <v>1280</v>
      </c>
      <c r="J123" s="558" t="s">
        <v>1257</v>
      </c>
      <c r="K123" s="558" t="s">
        <v>1258</v>
      </c>
      <c r="L123" s="562" t="s">
        <v>1281</v>
      </c>
      <c r="M123" s="558" t="s">
        <v>1296</v>
      </c>
      <c r="N123" s="563" t="s">
        <v>1348</v>
      </c>
      <c r="O123" s="558"/>
      <c r="P123" s="558"/>
      <c r="Q123" s="55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</row>
    <row r="124">
      <c r="A124" s="562" t="s">
        <v>1275</v>
      </c>
      <c r="B124" s="559">
        <v>45161.0</v>
      </c>
      <c r="C124" s="560">
        <v>45160.739583333336</v>
      </c>
      <c r="D124" s="561">
        <v>-10.0</v>
      </c>
      <c r="E124" s="558" t="s">
        <v>1254</v>
      </c>
      <c r="F124" s="558" t="s">
        <v>1255</v>
      </c>
      <c r="G124" s="558" t="s">
        <v>1076</v>
      </c>
      <c r="H124" s="558" t="s">
        <v>1051</v>
      </c>
      <c r="I124" s="558" t="s">
        <v>1280</v>
      </c>
      <c r="J124" s="558" t="s">
        <v>1257</v>
      </c>
      <c r="K124" s="558" t="s">
        <v>1258</v>
      </c>
      <c r="L124" s="562" t="s">
        <v>1281</v>
      </c>
      <c r="M124" s="558" t="s">
        <v>965</v>
      </c>
      <c r="N124" s="563" t="s">
        <v>1349</v>
      </c>
      <c r="O124" s="558"/>
      <c r="P124" s="558"/>
      <c r="Q124" s="55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</row>
    <row r="125">
      <c r="A125" s="558" t="s">
        <v>1253</v>
      </c>
      <c r="B125" s="559">
        <v>45162.0</v>
      </c>
      <c r="C125" s="560">
        <v>45161.475694444445</v>
      </c>
      <c r="D125" s="561">
        <v>-19.99</v>
      </c>
      <c r="E125" s="558" t="s">
        <v>1254</v>
      </c>
      <c r="F125" s="558" t="s">
        <v>1255</v>
      </c>
      <c r="G125" s="558" t="s">
        <v>1076</v>
      </c>
      <c r="H125" s="558" t="s">
        <v>1051</v>
      </c>
      <c r="I125" s="558" t="s">
        <v>1280</v>
      </c>
      <c r="J125" s="558" t="s">
        <v>1257</v>
      </c>
      <c r="K125" s="558" t="s">
        <v>1258</v>
      </c>
      <c r="L125" s="562" t="s">
        <v>1281</v>
      </c>
      <c r="M125" s="558" t="s">
        <v>1350</v>
      </c>
      <c r="N125" s="563" t="s">
        <v>1351</v>
      </c>
      <c r="O125" s="558"/>
      <c r="P125" s="558"/>
      <c r="Q125" s="55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</row>
    <row r="126">
      <c r="A126" s="562" t="s">
        <v>1275</v>
      </c>
      <c r="B126" s="559">
        <v>45162.0</v>
      </c>
      <c r="C126" s="560">
        <v>45161.66805555556</v>
      </c>
      <c r="D126" s="561">
        <v>-10.0</v>
      </c>
      <c r="E126" s="558" t="s">
        <v>1254</v>
      </c>
      <c r="F126" s="558" t="s">
        <v>1255</v>
      </c>
      <c r="G126" s="558" t="s">
        <v>1076</v>
      </c>
      <c r="H126" s="558" t="s">
        <v>1051</v>
      </c>
      <c r="I126" s="558" t="s">
        <v>1280</v>
      </c>
      <c r="J126" s="558" t="s">
        <v>1257</v>
      </c>
      <c r="K126" s="558" t="s">
        <v>1258</v>
      </c>
      <c r="L126" s="562" t="s">
        <v>1281</v>
      </c>
      <c r="M126" s="558" t="s">
        <v>965</v>
      </c>
      <c r="N126" s="563" t="s">
        <v>1352</v>
      </c>
      <c r="O126" s="558"/>
      <c r="P126" s="558"/>
      <c r="Q126" s="55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</row>
    <row r="127">
      <c r="A127" s="558" t="s">
        <v>1353</v>
      </c>
      <c r="B127" s="559">
        <v>45162.0</v>
      </c>
      <c r="C127" s="560">
        <v>45161.68125</v>
      </c>
      <c r="D127" s="561">
        <v>-18.99</v>
      </c>
      <c r="E127" s="558" t="s">
        <v>1254</v>
      </c>
      <c r="F127" s="558" t="s">
        <v>1255</v>
      </c>
      <c r="G127" s="558" t="s">
        <v>1076</v>
      </c>
      <c r="H127" s="558" t="s">
        <v>1051</v>
      </c>
      <c r="I127" s="558" t="s">
        <v>1280</v>
      </c>
      <c r="J127" s="558" t="s">
        <v>1257</v>
      </c>
      <c r="K127" s="558" t="s">
        <v>1258</v>
      </c>
      <c r="L127" s="562" t="s">
        <v>1281</v>
      </c>
      <c r="M127" s="558" t="s">
        <v>1354</v>
      </c>
      <c r="N127" s="563" t="s">
        <v>1355</v>
      </c>
      <c r="O127" s="558"/>
      <c r="P127" s="558"/>
      <c r="Q127" s="55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</row>
    <row r="128">
      <c r="A128" s="558" t="s">
        <v>1356</v>
      </c>
      <c r="B128" s="559">
        <v>45163.0</v>
      </c>
      <c r="C128" s="560">
        <v>45161.69930555556</v>
      </c>
      <c r="D128" s="561">
        <v>-693.14</v>
      </c>
      <c r="E128" s="558" t="s">
        <v>1254</v>
      </c>
      <c r="F128" s="558" t="s">
        <v>1255</v>
      </c>
      <c r="G128" s="558" t="s">
        <v>1076</v>
      </c>
      <c r="H128" s="558" t="s">
        <v>1051</v>
      </c>
      <c r="I128" s="558" t="s">
        <v>1280</v>
      </c>
      <c r="J128" s="558" t="s">
        <v>1257</v>
      </c>
      <c r="K128" s="558" t="s">
        <v>1258</v>
      </c>
      <c r="L128" s="562" t="s">
        <v>1281</v>
      </c>
      <c r="M128" s="558" t="s">
        <v>1350</v>
      </c>
      <c r="N128" s="563" t="s">
        <v>1357</v>
      </c>
      <c r="O128" s="558"/>
      <c r="P128" s="558"/>
      <c r="Q128" s="55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</row>
    <row r="129">
      <c r="A129" s="558" t="s">
        <v>1358</v>
      </c>
      <c r="B129" s="559">
        <v>45163.0</v>
      </c>
      <c r="C129" s="560">
        <v>45161.79791666667</v>
      </c>
      <c r="D129" s="561">
        <v>-50.62</v>
      </c>
      <c r="E129" s="558" t="s">
        <v>1254</v>
      </c>
      <c r="F129" s="558" t="s">
        <v>1255</v>
      </c>
      <c r="G129" s="558" t="s">
        <v>1076</v>
      </c>
      <c r="H129" s="558" t="s">
        <v>1051</v>
      </c>
      <c r="I129" s="558" t="s">
        <v>1280</v>
      </c>
      <c r="J129" s="558" t="s">
        <v>1257</v>
      </c>
      <c r="K129" s="558" t="s">
        <v>1258</v>
      </c>
      <c r="L129" s="562" t="s">
        <v>1281</v>
      </c>
      <c r="M129" s="558" t="s">
        <v>1359</v>
      </c>
      <c r="N129" s="563" t="s">
        <v>1360</v>
      </c>
      <c r="O129" s="558"/>
      <c r="P129" s="558"/>
      <c r="Q129" s="55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</row>
    <row r="130">
      <c r="A130" s="562" t="s">
        <v>1275</v>
      </c>
      <c r="B130" s="559">
        <v>45163.0</v>
      </c>
      <c r="C130" s="560">
        <v>45163.47708333333</v>
      </c>
      <c r="D130" s="561">
        <v>10.0</v>
      </c>
      <c r="E130" s="558" t="s">
        <v>1254</v>
      </c>
      <c r="F130" s="558" t="s">
        <v>1255</v>
      </c>
      <c r="G130" s="558" t="s">
        <v>1076</v>
      </c>
      <c r="H130" s="558" t="s">
        <v>1051</v>
      </c>
      <c r="I130" s="558" t="s">
        <v>1280</v>
      </c>
      <c r="J130" s="558" t="s">
        <v>1257</v>
      </c>
      <c r="K130" s="558" t="s">
        <v>1258</v>
      </c>
      <c r="L130" s="562" t="s">
        <v>1281</v>
      </c>
      <c r="M130" s="558" t="s">
        <v>965</v>
      </c>
      <c r="N130" s="563" t="s">
        <v>1361</v>
      </c>
      <c r="O130" s="558"/>
      <c r="P130" s="558"/>
      <c r="Q130" s="55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</row>
    <row r="131">
      <c r="A131" s="558" t="s">
        <v>1185</v>
      </c>
      <c r="B131" s="559">
        <v>45164.0</v>
      </c>
      <c r="C131" s="560">
        <v>45163.70763888889</v>
      </c>
      <c r="D131" s="561">
        <v>-462.5</v>
      </c>
      <c r="E131" s="558" t="s">
        <v>1254</v>
      </c>
      <c r="F131" s="558" t="s">
        <v>1255</v>
      </c>
      <c r="G131" s="558" t="s">
        <v>1076</v>
      </c>
      <c r="H131" s="558" t="s">
        <v>1051</v>
      </c>
      <c r="I131" s="558" t="s">
        <v>1280</v>
      </c>
      <c r="J131" s="558" t="s">
        <v>1257</v>
      </c>
      <c r="K131" s="558" t="s">
        <v>1258</v>
      </c>
      <c r="L131" s="562" t="s">
        <v>1281</v>
      </c>
      <c r="M131" s="558" t="s">
        <v>1362</v>
      </c>
      <c r="N131" s="563" t="s">
        <v>1363</v>
      </c>
      <c r="O131" s="558"/>
      <c r="P131" s="558"/>
      <c r="Q131" s="55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</row>
    <row r="132">
      <c r="A132" s="558" t="s">
        <v>1364</v>
      </c>
      <c r="B132" s="559">
        <v>45167.0</v>
      </c>
      <c r="C132" s="560">
        <v>45166.822916666664</v>
      </c>
      <c r="D132" s="561">
        <v>-3.0</v>
      </c>
      <c r="E132" s="558" t="s">
        <v>1254</v>
      </c>
      <c r="F132" s="558" t="s">
        <v>1255</v>
      </c>
      <c r="G132" s="558" t="s">
        <v>1076</v>
      </c>
      <c r="H132" s="558" t="s">
        <v>1051</v>
      </c>
      <c r="I132" s="558" t="s">
        <v>1319</v>
      </c>
      <c r="J132" s="558" t="s">
        <v>1053</v>
      </c>
      <c r="K132" s="558"/>
      <c r="L132" s="562" t="s">
        <v>1320</v>
      </c>
      <c r="M132" s="558"/>
      <c r="N132" s="563" t="s">
        <v>1365</v>
      </c>
      <c r="O132" s="558"/>
      <c r="P132" s="558"/>
      <c r="Q132" s="55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</row>
    <row r="133">
      <c r="A133" s="558" t="s">
        <v>1366</v>
      </c>
      <c r="B133" s="559">
        <v>45168.0</v>
      </c>
      <c r="C133" s="560">
        <v>45167.85486111111</v>
      </c>
      <c r="D133" s="561">
        <v>-1260.0</v>
      </c>
      <c r="E133" s="558" t="s">
        <v>1254</v>
      </c>
      <c r="F133" s="558" t="s">
        <v>1255</v>
      </c>
      <c r="G133" s="558" t="s">
        <v>1076</v>
      </c>
      <c r="H133" s="558" t="s">
        <v>1051</v>
      </c>
      <c r="I133" s="558" t="s">
        <v>1319</v>
      </c>
      <c r="J133" s="558" t="s">
        <v>1053</v>
      </c>
      <c r="K133" s="558"/>
      <c r="L133" s="562" t="s">
        <v>1320</v>
      </c>
      <c r="M133" s="558"/>
      <c r="N133" s="563" t="s">
        <v>1367</v>
      </c>
      <c r="O133" s="558"/>
      <c r="P133" s="558"/>
      <c r="Q133" s="55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</row>
    <row r="134">
      <c r="A134" s="558" t="s">
        <v>1307</v>
      </c>
      <c r="B134" s="559">
        <v>45169.0</v>
      </c>
      <c r="C134" s="560">
        <v>45167.33819444444</v>
      </c>
      <c r="D134" s="561">
        <v>-239.0</v>
      </c>
      <c r="E134" s="558" t="s">
        <v>1254</v>
      </c>
      <c r="F134" s="558" t="s">
        <v>1255</v>
      </c>
      <c r="G134" s="558" t="s">
        <v>1076</v>
      </c>
      <c r="H134" s="558" t="s">
        <v>1051</v>
      </c>
      <c r="I134" s="558" t="s">
        <v>1319</v>
      </c>
      <c r="J134" s="558" t="s">
        <v>1053</v>
      </c>
      <c r="K134" s="558"/>
      <c r="L134" s="562" t="s">
        <v>1320</v>
      </c>
      <c r="M134" s="558"/>
      <c r="N134" s="563" t="s">
        <v>1368</v>
      </c>
      <c r="O134" s="558"/>
      <c r="P134" s="558"/>
      <c r="Q134" s="55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</row>
    <row r="135">
      <c r="A135" s="558" t="s">
        <v>1369</v>
      </c>
      <c r="B135" s="559">
        <v>45143.0</v>
      </c>
      <c r="C135" s="560">
        <v>45142.69513888889</v>
      </c>
      <c r="D135" s="561">
        <v>-25.9</v>
      </c>
      <c r="E135" s="558" t="s">
        <v>1370</v>
      </c>
      <c r="F135" s="558" t="s">
        <v>1371</v>
      </c>
      <c r="G135" s="558" t="s">
        <v>1372</v>
      </c>
      <c r="H135" s="558" t="s">
        <v>1051</v>
      </c>
      <c r="I135" s="558" t="s">
        <v>1373</v>
      </c>
      <c r="J135" s="558" t="s">
        <v>1075</v>
      </c>
      <c r="K135" s="558" t="s">
        <v>1076</v>
      </c>
      <c r="L135" s="562" t="s">
        <v>1374</v>
      </c>
      <c r="M135" s="558" t="s">
        <v>1375</v>
      </c>
      <c r="N135" s="563" t="s">
        <v>1376</v>
      </c>
      <c r="O135" s="558"/>
      <c r="P135" s="558"/>
      <c r="Q135" s="55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</row>
    <row r="136">
      <c r="A136" s="562" t="s">
        <v>1173</v>
      </c>
      <c r="B136" s="559">
        <v>45144.0</v>
      </c>
      <c r="C136" s="560">
        <v>45142.37847222222</v>
      </c>
      <c r="D136" s="561">
        <v>-273.03</v>
      </c>
      <c r="E136" s="558" t="s">
        <v>1370</v>
      </c>
      <c r="F136" s="558" t="s">
        <v>1371</v>
      </c>
      <c r="G136" s="558" t="s">
        <v>1372</v>
      </c>
      <c r="H136" s="558" t="s">
        <v>1051</v>
      </c>
      <c r="I136" s="558" t="s">
        <v>1377</v>
      </c>
      <c r="J136" s="558" t="s">
        <v>1075</v>
      </c>
      <c r="K136" s="558" t="s">
        <v>1076</v>
      </c>
      <c r="L136" s="562" t="s">
        <v>1378</v>
      </c>
      <c r="M136" s="558" t="s">
        <v>1379</v>
      </c>
      <c r="N136" s="563" t="s">
        <v>1380</v>
      </c>
      <c r="O136" s="558"/>
      <c r="P136" s="558"/>
      <c r="Q136" s="55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</row>
    <row r="137">
      <c r="A137" s="562" t="s">
        <v>1173</v>
      </c>
      <c r="B137" s="559">
        <v>45144.0</v>
      </c>
      <c r="C137" s="560">
        <v>45142.37847222222</v>
      </c>
      <c r="D137" s="561">
        <v>-273.03</v>
      </c>
      <c r="E137" s="558" t="s">
        <v>1370</v>
      </c>
      <c r="F137" s="558" t="s">
        <v>1371</v>
      </c>
      <c r="G137" s="558" t="s">
        <v>1372</v>
      </c>
      <c r="H137" s="558" t="s">
        <v>1051</v>
      </c>
      <c r="I137" s="558" t="s">
        <v>1377</v>
      </c>
      <c r="J137" s="558" t="s">
        <v>1075</v>
      </c>
      <c r="K137" s="558" t="s">
        <v>1076</v>
      </c>
      <c r="L137" s="562" t="s">
        <v>1378</v>
      </c>
      <c r="M137" s="558" t="s">
        <v>1379</v>
      </c>
      <c r="N137" s="563" t="s">
        <v>1380</v>
      </c>
      <c r="O137" s="558"/>
      <c r="P137" s="558"/>
      <c r="Q137" s="55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</row>
    <row r="138">
      <c r="A138" s="558" t="s">
        <v>1047</v>
      </c>
      <c r="B138" s="559">
        <v>45146.0</v>
      </c>
      <c r="C138" s="560">
        <v>45145.64722222222</v>
      </c>
      <c r="D138" s="561">
        <v>-479.7</v>
      </c>
      <c r="E138" s="558" t="s">
        <v>1370</v>
      </c>
      <c r="F138" s="558" t="s">
        <v>1371</v>
      </c>
      <c r="G138" s="558" t="s">
        <v>1372</v>
      </c>
      <c r="H138" s="558" t="s">
        <v>1051</v>
      </c>
      <c r="I138" s="558" t="s">
        <v>1377</v>
      </c>
      <c r="J138" s="558" t="s">
        <v>1075</v>
      </c>
      <c r="K138" s="558" t="s">
        <v>1076</v>
      </c>
      <c r="L138" s="562" t="s">
        <v>1378</v>
      </c>
      <c r="M138" s="558" t="s">
        <v>1381</v>
      </c>
      <c r="N138" s="563" t="s">
        <v>1382</v>
      </c>
      <c r="O138" s="558"/>
      <c r="P138" s="558"/>
      <c r="Q138" s="55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</row>
    <row r="139">
      <c r="A139" s="558" t="s">
        <v>1369</v>
      </c>
      <c r="B139" s="559">
        <v>45149.0</v>
      </c>
      <c r="C139" s="560">
        <v>45147.71944444445</v>
      </c>
      <c r="D139" s="561">
        <v>-23.69</v>
      </c>
      <c r="E139" s="558" t="s">
        <v>1370</v>
      </c>
      <c r="F139" s="558" t="s">
        <v>1371</v>
      </c>
      <c r="G139" s="558" t="s">
        <v>1372</v>
      </c>
      <c r="H139" s="558" t="s">
        <v>1051</v>
      </c>
      <c r="I139" s="558" t="s">
        <v>1377</v>
      </c>
      <c r="J139" s="558" t="s">
        <v>1075</v>
      </c>
      <c r="K139" s="558" t="s">
        <v>1076</v>
      </c>
      <c r="L139" s="562" t="s">
        <v>1378</v>
      </c>
      <c r="M139" s="558" t="s">
        <v>1383</v>
      </c>
      <c r="N139" s="563" t="s">
        <v>1384</v>
      </c>
      <c r="O139" s="558"/>
      <c r="P139" s="558"/>
      <c r="Q139" s="55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</row>
    <row r="140">
      <c r="A140" s="558" t="s">
        <v>1185</v>
      </c>
      <c r="B140" s="559">
        <v>45154.0</v>
      </c>
      <c r="C140" s="560">
        <v>45153.8</v>
      </c>
      <c r="D140" s="561">
        <v>-99.29</v>
      </c>
      <c r="E140" s="558" t="s">
        <v>1370</v>
      </c>
      <c r="F140" s="558" t="s">
        <v>1371</v>
      </c>
      <c r="G140" s="558" t="s">
        <v>1372</v>
      </c>
      <c r="H140" s="558" t="s">
        <v>1051</v>
      </c>
      <c r="I140" s="558" t="s">
        <v>1385</v>
      </c>
      <c r="J140" s="558" t="s">
        <v>1075</v>
      </c>
      <c r="K140" s="558" t="s">
        <v>1076</v>
      </c>
      <c r="L140" s="562" t="s">
        <v>1386</v>
      </c>
      <c r="M140" s="558" t="s">
        <v>1387</v>
      </c>
      <c r="N140" s="563" t="s">
        <v>1388</v>
      </c>
      <c r="O140" s="558"/>
      <c r="P140" s="558"/>
      <c r="Q140" s="55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</row>
    <row r="141">
      <c r="A141" s="558" t="s">
        <v>1136</v>
      </c>
      <c r="B141" s="559">
        <v>45167.0</v>
      </c>
      <c r="C141" s="560">
        <v>45166.68680555555</v>
      </c>
      <c r="D141" s="561">
        <v>-63.61</v>
      </c>
      <c r="E141" s="558" t="s">
        <v>1370</v>
      </c>
      <c r="F141" s="558" t="s">
        <v>1371</v>
      </c>
      <c r="G141" s="558" t="s">
        <v>1372</v>
      </c>
      <c r="H141" s="558" t="s">
        <v>1051</v>
      </c>
      <c r="I141" s="558" t="s">
        <v>1389</v>
      </c>
      <c r="J141" s="558" t="s">
        <v>1075</v>
      </c>
      <c r="K141" s="558" t="s">
        <v>1076</v>
      </c>
      <c r="L141" s="562" t="s">
        <v>1390</v>
      </c>
      <c r="M141" s="558"/>
      <c r="N141" s="563" t="s">
        <v>1391</v>
      </c>
      <c r="O141" s="558"/>
      <c r="P141" s="558"/>
      <c r="Q141" s="55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</row>
    <row r="142">
      <c r="A142" s="558" t="s">
        <v>1047</v>
      </c>
      <c r="B142" s="559">
        <v>45168.0</v>
      </c>
      <c r="C142" s="560">
        <v>45167.614583333336</v>
      </c>
      <c r="D142" s="561">
        <v>-80.96</v>
      </c>
      <c r="E142" s="558" t="s">
        <v>1370</v>
      </c>
      <c r="F142" s="558" t="s">
        <v>1371</v>
      </c>
      <c r="G142" s="558" t="s">
        <v>1372</v>
      </c>
      <c r="H142" s="558" t="s">
        <v>1051</v>
      </c>
      <c r="I142" s="558" t="s">
        <v>1392</v>
      </c>
      <c r="J142" s="558" t="s">
        <v>1075</v>
      </c>
      <c r="K142" s="558" t="s">
        <v>1076</v>
      </c>
      <c r="L142" s="562" t="s">
        <v>1393</v>
      </c>
      <c r="M142" s="558"/>
      <c r="N142" s="563" t="s">
        <v>1394</v>
      </c>
      <c r="O142" s="558"/>
      <c r="P142" s="558"/>
      <c r="Q142" s="55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</row>
    <row r="143">
      <c r="A143" s="558" t="s">
        <v>1395</v>
      </c>
      <c r="B143" s="559">
        <v>45143.0</v>
      </c>
      <c r="C143" s="560">
        <v>45142.69236111111</v>
      </c>
      <c r="D143" s="561">
        <v>-600.48</v>
      </c>
      <c r="E143" s="558" t="s">
        <v>1396</v>
      </c>
      <c r="F143" s="558" t="s">
        <v>1397</v>
      </c>
      <c r="G143" s="558" t="s">
        <v>1398</v>
      </c>
      <c r="H143" s="558" t="s">
        <v>1051</v>
      </c>
      <c r="I143" s="558" t="s">
        <v>1399</v>
      </c>
      <c r="J143" s="558" t="s">
        <v>1053</v>
      </c>
      <c r="K143" s="558"/>
      <c r="L143" s="562" t="s">
        <v>1400</v>
      </c>
      <c r="M143" s="558" t="s">
        <v>1401</v>
      </c>
      <c r="N143" s="563" t="s">
        <v>1402</v>
      </c>
      <c r="O143" s="558"/>
      <c r="P143" s="558"/>
      <c r="Q143" s="55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</row>
    <row r="144">
      <c r="A144" s="558" t="s">
        <v>1403</v>
      </c>
      <c r="B144" s="559">
        <v>45149.0</v>
      </c>
      <c r="C144" s="560">
        <v>45148.30972222222</v>
      </c>
      <c r="D144" s="561">
        <v>-250.11</v>
      </c>
      <c r="E144" s="558" t="s">
        <v>1396</v>
      </c>
      <c r="F144" s="558" t="s">
        <v>1397</v>
      </c>
      <c r="G144" s="558" t="s">
        <v>1398</v>
      </c>
      <c r="H144" s="558" t="s">
        <v>1051</v>
      </c>
      <c r="I144" s="558" t="s">
        <v>1399</v>
      </c>
      <c r="J144" s="558" t="s">
        <v>1053</v>
      </c>
      <c r="K144" s="558"/>
      <c r="L144" s="562" t="s">
        <v>1400</v>
      </c>
      <c r="M144" s="558" t="s">
        <v>1401</v>
      </c>
      <c r="N144" s="563" t="s">
        <v>1404</v>
      </c>
      <c r="O144" s="558"/>
      <c r="P144" s="558"/>
      <c r="Q144" s="55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</row>
    <row r="145">
      <c r="A145" s="558" t="s">
        <v>1405</v>
      </c>
      <c r="B145" s="559">
        <v>45149.0</v>
      </c>
      <c r="C145" s="560">
        <v>45148.48541666667</v>
      </c>
      <c r="D145" s="561">
        <v>-50.0</v>
      </c>
      <c r="E145" s="558" t="s">
        <v>1396</v>
      </c>
      <c r="F145" s="558" t="s">
        <v>1397</v>
      </c>
      <c r="G145" s="558" t="s">
        <v>1398</v>
      </c>
      <c r="H145" s="558" t="s">
        <v>1051</v>
      </c>
      <c r="I145" s="558" t="s">
        <v>1399</v>
      </c>
      <c r="J145" s="558" t="s">
        <v>1053</v>
      </c>
      <c r="K145" s="558"/>
      <c r="L145" s="562" t="s">
        <v>1400</v>
      </c>
      <c r="M145" s="558" t="s">
        <v>1401</v>
      </c>
      <c r="N145" s="563" t="s">
        <v>1406</v>
      </c>
      <c r="O145" s="558"/>
      <c r="P145" s="558"/>
      <c r="Q145" s="55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</row>
    <row r="146">
      <c r="A146" s="558" t="s">
        <v>1407</v>
      </c>
      <c r="B146" s="559">
        <v>45154.0</v>
      </c>
      <c r="C146" s="560">
        <v>45153.27638888889</v>
      </c>
      <c r="D146" s="561">
        <v>-600.0</v>
      </c>
      <c r="E146" s="558" t="s">
        <v>1396</v>
      </c>
      <c r="F146" s="558" t="s">
        <v>1397</v>
      </c>
      <c r="G146" s="558" t="s">
        <v>1398</v>
      </c>
      <c r="H146" s="558" t="s">
        <v>1051</v>
      </c>
      <c r="I146" s="558" t="s">
        <v>1399</v>
      </c>
      <c r="J146" s="558" t="s">
        <v>1053</v>
      </c>
      <c r="K146" s="558"/>
      <c r="L146" s="562" t="s">
        <v>1400</v>
      </c>
      <c r="M146" s="558" t="s">
        <v>1401</v>
      </c>
      <c r="N146" s="563" t="s">
        <v>1408</v>
      </c>
      <c r="O146" s="48"/>
      <c r="P146" s="43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</row>
    <row r="147">
      <c r="A147" s="558" t="s">
        <v>1409</v>
      </c>
      <c r="B147" s="559">
        <v>45155.0</v>
      </c>
      <c r="C147" s="560">
        <v>45154.89791666667</v>
      </c>
      <c r="D147" s="561">
        <v>-250.0</v>
      </c>
      <c r="E147" s="558" t="s">
        <v>1396</v>
      </c>
      <c r="F147" s="558" t="s">
        <v>1397</v>
      </c>
      <c r="G147" s="558" t="s">
        <v>1398</v>
      </c>
      <c r="H147" s="558" t="s">
        <v>1051</v>
      </c>
      <c r="I147" s="558" t="s">
        <v>1399</v>
      </c>
      <c r="J147" s="558" t="s">
        <v>1053</v>
      </c>
      <c r="K147" s="558"/>
      <c r="L147" s="562" t="s">
        <v>1400</v>
      </c>
      <c r="M147" s="558" t="s">
        <v>1410</v>
      </c>
      <c r="N147" s="563" t="s">
        <v>1411</v>
      </c>
      <c r="O147" s="48"/>
      <c r="P147" s="43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</row>
    <row r="148">
      <c r="A148" s="558" t="s">
        <v>1412</v>
      </c>
      <c r="B148" s="559">
        <v>45162.0</v>
      </c>
      <c r="C148" s="560">
        <v>45160.14236111111</v>
      </c>
      <c r="D148" s="561">
        <v>-40.87</v>
      </c>
      <c r="E148" s="558" t="s">
        <v>1396</v>
      </c>
      <c r="F148" s="558" t="s">
        <v>1397</v>
      </c>
      <c r="G148" s="558" t="s">
        <v>1398</v>
      </c>
      <c r="H148" s="558" t="s">
        <v>1051</v>
      </c>
      <c r="I148" s="558" t="s">
        <v>1399</v>
      </c>
      <c r="J148" s="558" t="s">
        <v>1053</v>
      </c>
      <c r="K148" s="558"/>
      <c r="L148" s="562" t="s">
        <v>1400</v>
      </c>
      <c r="M148" s="558" t="s">
        <v>1413</v>
      </c>
      <c r="N148" s="563" t="s">
        <v>1414</v>
      </c>
      <c r="O148" s="48"/>
      <c r="P148" s="43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</row>
    <row r="149">
      <c r="A149" s="558" t="s">
        <v>1412</v>
      </c>
      <c r="B149" s="559">
        <v>45163.0</v>
      </c>
      <c r="C149" s="560">
        <v>45161.731944444444</v>
      </c>
      <c r="D149" s="561">
        <v>-41.97</v>
      </c>
      <c r="E149" s="558" t="s">
        <v>1396</v>
      </c>
      <c r="F149" s="558" t="s">
        <v>1397</v>
      </c>
      <c r="G149" s="558" t="s">
        <v>1398</v>
      </c>
      <c r="H149" s="558" t="s">
        <v>1051</v>
      </c>
      <c r="I149" s="558" t="s">
        <v>1399</v>
      </c>
      <c r="J149" s="558" t="s">
        <v>1053</v>
      </c>
      <c r="K149" s="558"/>
      <c r="L149" s="562" t="s">
        <v>1400</v>
      </c>
      <c r="M149" s="558" t="s">
        <v>1413</v>
      </c>
      <c r="N149" s="563" t="s">
        <v>1415</v>
      </c>
      <c r="O149" s="48"/>
      <c r="P149" s="43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</row>
    <row r="150">
      <c r="A150" s="558" t="s">
        <v>1416</v>
      </c>
      <c r="B150" s="559">
        <v>45142.0</v>
      </c>
      <c r="C150" s="560">
        <v>45141.80486111111</v>
      </c>
      <c r="D150" s="561">
        <v>-198.0</v>
      </c>
      <c r="E150" s="558" t="s">
        <v>1417</v>
      </c>
      <c r="F150" s="558" t="s">
        <v>1418</v>
      </c>
      <c r="G150" s="558" t="s">
        <v>1419</v>
      </c>
      <c r="H150" s="558" t="s">
        <v>1051</v>
      </c>
      <c r="I150" s="558" t="s">
        <v>1420</v>
      </c>
      <c r="J150" s="558" t="s">
        <v>1075</v>
      </c>
      <c r="K150" s="558" t="s">
        <v>1076</v>
      </c>
      <c r="L150" s="562" t="s">
        <v>1421</v>
      </c>
      <c r="M150" s="558" t="s">
        <v>1422</v>
      </c>
      <c r="N150" s="563" t="s">
        <v>1423</v>
      </c>
      <c r="O150" s="48"/>
      <c r="P150" s="43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</row>
    <row r="151">
      <c r="A151" s="558" t="s">
        <v>1133</v>
      </c>
      <c r="B151" s="559">
        <v>45142.0</v>
      </c>
      <c r="C151" s="560">
        <v>45141.77916666667</v>
      </c>
      <c r="D151" s="561">
        <v>-7.67</v>
      </c>
      <c r="E151" s="558" t="s">
        <v>1417</v>
      </c>
      <c r="F151" s="558" t="s">
        <v>1418</v>
      </c>
      <c r="G151" s="558" t="s">
        <v>1419</v>
      </c>
      <c r="H151" s="558" t="s">
        <v>1051</v>
      </c>
      <c r="I151" s="558" t="s">
        <v>1420</v>
      </c>
      <c r="J151" s="558" t="s">
        <v>1075</v>
      </c>
      <c r="K151" s="558" t="s">
        <v>1076</v>
      </c>
      <c r="L151" s="562" t="s">
        <v>1421</v>
      </c>
      <c r="M151" s="558" t="s">
        <v>1424</v>
      </c>
      <c r="N151" s="563" t="s">
        <v>1425</v>
      </c>
      <c r="O151" s="48"/>
      <c r="P151" s="43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</row>
    <row r="152">
      <c r="A152" s="558" t="s">
        <v>1426</v>
      </c>
      <c r="B152" s="559">
        <v>45143.0</v>
      </c>
      <c r="C152" s="560">
        <v>45141.754166666666</v>
      </c>
      <c r="D152" s="561">
        <v>-86.97</v>
      </c>
      <c r="E152" s="558" t="s">
        <v>1417</v>
      </c>
      <c r="F152" s="558" t="s">
        <v>1418</v>
      </c>
      <c r="G152" s="558" t="s">
        <v>1419</v>
      </c>
      <c r="H152" s="558" t="s">
        <v>1051</v>
      </c>
      <c r="I152" s="558" t="s">
        <v>1420</v>
      </c>
      <c r="J152" s="558" t="s">
        <v>1075</v>
      </c>
      <c r="K152" s="558" t="s">
        <v>1076</v>
      </c>
      <c r="L152" s="562" t="s">
        <v>1421</v>
      </c>
      <c r="M152" s="558" t="s">
        <v>1427</v>
      </c>
      <c r="N152" s="563" t="s">
        <v>1428</v>
      </c>
      <c r="O152" s="48"/>
      <c r="P152" s="43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</row>
    <row r="153">
      <c r="A153" s="558" t="s">
        <v>1429</v>
      </c>
      <c r="B153" s="559">
        <v>45163.0</v>
      </c>
      <c r="C153" s="560">
        <v>45162.31319444445</v>
      </c>
      <c r="D153" s="561">
        <v>-114.75</v>
      </c>
      <c r="E153" s="558" t="s">
        <v>1417</v>
      </c>
      <c r="F153" s="558" t="s">
        <v>1418</v>
      </c>
      <c r="G153" s="558" t="s">
        <v>1419</v>
      </c>
      <c r="H153" s="558" t="s">
        <v>1051</v>
      </c>
      <c r="I153" s="558" t="s">
        <v>1430</v>
      </c>
      <c r="J153" s="558" t="s">
        <v>1257</v>
      </c>
      <c r="K153" s="558" t="s">
        <v>1076</v>
      </c>
      <c r="L153" s="562" t="s">
        <v>1431</v>
      </c>
      <c r="M153" s="558" t="s">
        <v>1432</v>
      </c>
      <c r="N153" s="563" t="s">
        <v>1433</v>
      </c>
      <c r="O153" s="48"/>
      <c r="P153" s="43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</row>
    <row r="154">
      <c r="A154" s="562" t="s">
        <v>1434</v>
      </c>
      <c r="B154" s="559">
        <v>45141.0</v>
      </c>
      <c r="C154" s="560">
        <v>45140.83125</v>
      </c>
      <c r="D154" s="561">
        <v>-127.98</v>
      </c>
      <c r="E154" s="558" t="s">
        <v>1435</v>
      </c>
      <c r="F154" s="558" t="s">
        <v>1436</v>
      </c>
      <c r="G154" s="558" t="s">
        <v>1437</v>
      </c>
      <c r="H154" s="558" t="s">
        <v>1051</v>
      </c>
      <c r="I154" s="558" t="s">
        <v>1438</v>
      </c>
      <c r="J154" s="558" t="s">
        <v>1257</v>
      </c>
      <c r="K154" s="558" t="s">
        <v>1439</v>
      </c>
      <c r="L154" s="562" t="s">
        <v>1440</v>
      </c>
      <c r="M154" s="558"/>
      <c r="N154" s="563" t="s">
        <v>1441</v>
      </c>
      <c r="O154" s="48"/>
      <c r="P154" s="43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</row>
    <row r="155">
      <c r="A155" s="558" t="s">
        <v>1442</v>
      </c>
      <c r="B155" s="559">
        <v>45147.0</v>
      </c>
      <c r="C155" s="560">
        <v>45146.68680555555</v>
      </c>
      <c r="D155" s="561">
        <v>-28.0</v>
      </c>
      <c r="E155" s="558" t="s">
        <v>1435</v>
      </c>
      <c r="F155" s="558" t="s">
        <v>1436</v>
      </c>
      <c r="G155" s="558" t="s">
        <v>1437</v>
      </c>
      <c r="H155" s="558" t="s">
        <v>1051</v>
      </c>
      <c r="I155" s="558" t="s">
        <v>1438</v>
      </c>
      <c r="J155" s="558" t="s">
        <v>1257</v>
      </c>
      <c r="K155" s="558" t="s">
        <v>1439</v>
      </c>
      <c r="L155" s="562" t="s">
        <v>1440</v>
      </c>
      <c r="M155" s="558"/>
      <c r="N155" s="563" t="s">
        <v>1443</v>
      </c>
      <c r="O155" s="48"/>
      <c r="P155" s="43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</row>
    <row r="156">
      <c r="A156" s="558" t="s">
        <v>1444</v>
      </c>
      <c r="B156" s="559">
        <v>45147.0</v>
      </c>
      <c r="C156" s="560">
        <v>45146.70138888889</v>
      </c>
      <c r="D156" s="561">
        <v>-75.0</v>
      </c>
      <c r="E156" s="558" t="s">
        <v>1435</v>
      </c>
      <c r="F156" s="558" t="s">
        <v>1436</v>
      </c>
      <c r="G156" s="558" t="s">
        <v>1437</v>
      </c>
      <c r="H156" s="558" t="s">
        <v>1051</v>
      </c>
      <c r="I156" s="558" t="s">
        <v>1438</v>
      </c>
      <c r="J156" s="558" t="s">
        <v>1257</v>
      </c>
      <c r="K156" s="558" t="s">
        <v>1439</v>
      </c>
      <c r="L156" s="562" t="s">
        <v>1440</v>
      </c>
      <c r="M156" s="558"/>
      <c r="N156" s="563" t="s">
        <v>1445</v>
      </c>
      <c r="O156" s="48"/>
      <c r="P156" s="43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</row>
    <row r="157">
      <c r="A157" s="558" t="s">
        <v>1444</v>
      </c>
      <c r="B157" s="559">
        <v>45147.0</v>
      </c>
      <c r="C157" s="560">
        <v>45146.72361111111</v>
      </c>
      <c r="D157" s="561">
        <v>-75.0</v>
      </c>
      <c r="E157" s="558" t="s">
        <v>1435</v>
      </c>
      <c r="F157" s="558" t="s">
        <v>1436</v>
      </c>
      <c r="G157" s="558" t="s">
        <v>1437</v>
      </c>
      <c r="H157" s="558" t="s">
        <v>1051</v>
      </c>
      <c r="I157" s="558" t="s">
        <v>1438</v>
      </c>
      <c r="J157" s="558" t="s">
        <v>1257</v>
      </c>
      <c r="K157" s="558" t="s">
        <v>1439</v>
      </c>
      <c r="L157" s="562" t="s">
        <v>1440</v>
      </c>
      <c r="M157" s="558"/>
      <c r="N157" s="563" t="s">
        <v>1446</v>
      </c>
      <c r="O157" s="48"/>
      <c r="P157" s="43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</row>
    <row r="158">
      <c r="A158" s="558" t="s">
        <v>1442</v>
      </c>
      <c r="B158" s="559">
        <v>45147.0</v>
      </c>
      <c r="C158" s="560">
        <v>45146.76458333333</v>
      </c>
      <c r="D158" s="561">
        <v>-28.0</v>
      </c>
      <c r="E158" s="558" t="s">
        <v>1435</v>
      </c>
      <c r="F158" s="558" t="s">
        <v>1436</v>
      </c>
      <c r="G158" s="558" t="s">
        <v>1437</v>
      </c>
      <c r="H158" s="558" t="s">
        <v>1051</v>
      </c>
      <c r="I158" s="558" t="s">
        <v>1438</v>
      </c>
      <c r="J158" s="558" t="s">
        <v>1257</v>
      </c>
      <c r="K158" s="558" t="s">
        <v>1439</v>
      </c>
      <c r="L158" s="562" t="s">
        <v>1440</v>
      </c>
      <c r="M158" s="558"/>
      <c r="N158" s="563" t="s">
        <v>1447</v>
      </c>
      <c r="O158" s="48"/>
      <c r="P158" s="43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</row>
    <row r="159">
      <c r="A159" s="558" t="s">
        <v>1448</v>
      </c>
      <c r="B159" s="559">
        <v>45152.0</v>
      </c>
      <c r="C159" s="560">
        <v>45151.78958333333</v>
      </c>
      <c r="D159" s="561">
        <v>-47.59</v>
      </c>
      <c r="E159" s="558" t="s">
        <v>1435</v>
      </c>
      <c r="F159" s="558" t="s">
        <v>1436</v>
      </c>
      <c r="G159" s="558" t="s">
        <v>1437</v>
      </c>
      <c r="H159" s="558" t="s">
        <v>1051</v>
      </c>
      <c r="I159" s="558" t="s">
        <v>1438</v>
      </c>
      <c r="J159" s="558" t="s">
        <v>1257</v>
      </c>
      <c r="K159" s="558" t="s">
        <v>1439</v>
      </c>
      <c r="L159" s="562" t="s">
        <v>1440</v>
      </c>
      <c r="M159" s="558"/>
      <c r="N159" s="563" t="s">
        <v>1449</v>
      </c>
      <c r="O159" s="48"/>
      <c r="P159" s="43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</row>
    <row r="160">
      <c r="A160" s="558" t="s">
        <v>1450</v>
      </c>
      <c r="B160" s="559">
        <v>45152.0</v>
      </c>
      <c r="C160" s="560">
        <v>45151.836805555555</v>
      </c>
      <c r="D160" s="561">
        <v>-173.55</v>
      </c>
      <c r="E160" s="558" t="s">
        <v>1435</v>
      </c>
      <c r="F160" s="558" t="s">
        <v>1436</v>
      </c>
      <c r="G160" s="558" t="s">
        <v>1437</v>
      </c>
      <c r="H160" s="558" t="s">
        <v>1051</v>
      </c>
      <c r="I160" s="558" t="s">
        <v>1438</v>
      </c>
      <c r="J160" s="558" t="s">
        <v>1257</v>
      </c>
      <c r="K160" s="558" t="s">
        <v>1439</v>
      </c>
      <c r="L160" s="562" t="s">
        <v>1440</v>
      </c>
      <c r="M160" s="558" t="s">
        <v>1451</v>
      </c>
      <c r="N160" s="563" t="s">
        <v>1452</v>
      </c>
      <c r="O160" s="48"/>
      <c r="P160" s="43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</row>
    <row r="161">
      <c r="A161" s="558" t="s">
        <v>1453</v>
      </c>
      <c r="B161" s="559">
        <v>45152.0</v>
      </c>
      <c r="C161" s="560">
        <v>45151.876388888886</v>
      </c>
      <c r="D161" s="561">
        <v>-50.0</v>
      </c>
      <c r="E161" s="558" t="s">
        <v>1435</v>
      </c>
      <c r="F161" s="558" t="s">
        <v>1436</v>
      </c>
      <c r="G161" s="558" t="s">
        <v>1437</v>
      </c>
      <c r="H161" s="558" t="s">
        <v>1051</v>
      </c>
      <c r="I161" s="558" t="s">
        <v>1438</v>
      </c>
      <c r="J161" s="558" t="s">
        <v>1257</v>
      </c>
      <c r="K161" s="558" t="s">
        <v>1439</v>
      </c>
      <c r="L161" s="562" t="s">
        <v>1440</v>
      </c>
      <c r="M161" s="558"/>
      <c r="N161" s="563" t="s">
        <v>1454</v>
      </c>
      <c r="O161" s="48"/>
      <c r="P161" s="43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</row>
    <row r="162">
      <c r="A162" s="558" t="s">
        <v>1448</v>
      </c>
      <c r="B162" s="559">
        <v>45152.0</v>
      </c>
      <c r="C162" s="560">
        <v>45151.88402777778</v>
      </c>
      <c r="D162" s="561">
        <v>-13.71</v>
      </c>
      <c r="E162" s="558" t="s">
        <v>1435</v>
      </c>
      <c r="F162" s="558" t="s">
        <v>1436</v>
      </c>
      <c r="G162" s="558" t="s">
        <v>1437</v>
      </c>
      <c r="H162" s="558" t="s">
        <v>1051</v>
      </c>
      <c r="I162" s="558" t="s">
        <v>1438</v>
      </c>
      <c r="J162" s="558" t="s">
        <v>1257</v>
      </c>
      <c r="K162" s="558" t="s">
        <v>1439</v>
      </c>
      <c r="L162" s="562" t="s">
        <v>1440</v>
      </c>
      <c r="M162" s="558"/>
      <c r="N162" s="563" t="s">
        <v>1455</v>
      </c>
      <c r="O162" s="48"/>
      <c r="P162" s="43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</row>
    <row r="163">
      <c r="A163" s="558" t="s">
        <v>1456</v>
      </c>
      <c r="B163" s="559">
        <v>45153.0</v>
      </c>
      <c r="C163" s="560">
        <v>45152.75</v>
      </c>
      <c r="D163" s="561">
        <v>-212.55</v>
      </c>
      <c r="E163" s="558" t="s">
        <v>1435</v>
      </c>
      <c r="F163" s="558" t="s">
        <v>1436</v>
      </c>
      <c r="G163" s="558" t="s">
        <v>1437</v>
      </c>
      <c r="H163" s="558" t="s">
        <v>1051</v>
      </c>
      <c r="I163" s="558" t="s">
        <v>1438</v>
      </c>
      <c r="J163" s="558" t="s">
        <v>1257</v>
      </c>
      <c r="K163" s="558" t="s">
        <v>1439</v>
      </c>
      <c r="L163" s="562" t="s">
        <v>1440</v>
      </c>
      <c r="M163" s="558"/>
      <c r="N163" s="563" t="s">
        <v>1457</v>
      </c>
      <c r="O163" s="48"/>
      <c r="P163" s="43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</row>
    <row r="164">
      <c r="A164" s="558" t="s">
        <v>1458</v>
      </c>
      <c r="B164" s="559">
        <v>45153.0</v>
      </c>
      <c r="C164" s="560">
        <v>45152.51736111111</v>
      </c>
      <c r="D164" s="561">
        <v>-108.36</v>
      </c>
      <c r="E164" s="558" t="s">
        <v>1435</v>
      </c>
      <c r="F164" s="558" t="s">
        <v>1436</v>
      </c>
      <c r="G164" s="558" t="s">
        <v>1437</v>
      </c>
      <c r="H164" s="558" t="s">
        <v>1051</v>
      </c>
      <c r="I164" s="558" t="s">
        <v>1438</v>
      </c>
      <c r="J164" s="558" t="s">
        <v>1257</v>
      </c>
      <c r="K164" s="558" t="s">
        <v>1439</v>
      </c>
      <c r="L164" s="562" t="s">
        <v>1440</v>
      </c>
      <c r="M164" s="558"/>
      <c r="N164" s="563" t="s">
        <v>1459</v>
      </c>
      <c r="O164" s="48"/>
      <c r="P164" s="43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</row>
    <row r="165">
      <c r="A165" s="558" t="s">
        <v>1456</v>
      </c>
      <c r="B165" s="559">
        <v>45154.0</v>
      </c>
      <c r="C165" s="560">
        <v>45154.35763888889</v>
      </c>
      <c r="D165" s="561">
        <v>212.54</v>
      </c>
      <c r="E165" s="558" t="s">
        <v>1435</v>
      </c>
      <c r="F165" s="558" t="s">
        <v>1436</v>
      </c>
      <c r="G165" s="558" t="s">
        <v>1437</v>
      </c>
      <c r="H165" s="558" t="s">
        <v>1051</v>
      </c>
      <c r="I165" s="558" t="s">
        <v>1438</v>
      </c>
      <c r="J165" s="558" t="s">
        <v>1257</v>
      </c>
      <c r="K165" s="558" t="s">
        <v>1439</v>
      </c>
      <c r="L165" s="562" t="s">
        <v>1440</v>
      </c>
      <c r="M165" s="558"/>
      <c r="N165" s="563" t="s">
        <v>1460</v>
      </c>
      <c r="O165" s="48"/>
      <c r="P165" s="43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</row>
    <row r="166">
      <c r="A166" s="562" t="s">
        <v>1461</v>
      </c>
      <c r="B166" s="559">
        <v>45154.0</v>
      </c>
      <c r="C166" s="560">
        <v>45152.52013888889</v>
      </c>
      <c r="D166" s="561">
        <v>-38.15</v>
      </c>
      <c r="E166" s="558" t="s">
        <v>1435</v>
      </c>
      <c r="F166" s="558" t="s">
        <v>1436</v>
      </c>
      <c r="G166" s="558" t="s">
        <v>1437</v>
      </c>
      <c r="H166" s="558" t="s">
        <v>1051</v>
      </c>
      <c r="I166" s="558" t="s">
        <v>1438</v>
      </c>
      <c r="J166" s="558" t="s">
        <v>1257</v>
      </c>
      <c r="K166" s="558" t="s">
        <v>1439</v>
      </c>
      <c r="L166" s="562" t="s">
        <v>1440</v>
      </c>
      <c r="M166" s="558"/>
      <c r="N166" s="563" t="s">
        <v>1462</v>
      </c>
      <c r="O166" s="48"/>
      <c r="P166" s="43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</row>
    <row r="167">
      <c r="A167" s="558" t="s">
        <v>1047</v>
      </c>
      <c r="B167" s="559">
        <v>45157.0</v>
      </c>
      <c r="C167" s="560">
        <v>45155.87847222222</v>
      </c>
      <c r="D167" s="561">
        <v>-36.72</v>
      </c>
      <c r="E167" s="558" t="s">
        <v>1435</v>
      </c>
      <c r="F167" s="558" t="s">
        <v>1436</v>
      </c>
      <c r="G167" s="558" t="s">
        <v>1437</v>
      </c>
      <c r="H167" s="558" t="s">
        <v>1051</v>
      </c>
      <c r="I167" s="558" t="s">
        <v>1463</v>
      </c>
      <c r="J167" s="558" t="s">
        <v>1257</v>
      </c>
      <c r="K167" s="558" t="s">
        <v>1439</v>
      </c>
      <c r="L167" s="562" t="s">
        <v>1464</v>
      </c>
      <c r="M167" s="558"/>
      <c r="N167" s="563" t="s">
        <v>1465</v>
      </c>
      <c r="O167" s="48"/>
      <c r="P167" s="43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</row>
    <row r="168">
      <c r="A168" s="558" t="s">
        <v>1114</v>
      </c>
      <c r="B168" s="559">
        <v>45157.0</v>
      </c>
      <c r="C168" s="560">
        <v>45156.49652777778</v>
      </c>
      <c r="D168" s="561">
        <v>-44.3</v>
      </c>
      <c r="E168" s="558" t="s">
        <v>1435</v>
      </c>
      <c r="F168" s="558" t="s">
        <v>1436</v>
      </c>
      <c r="G168" s="558" t="s">
        <v>1437</v>
      </c>
      <c r="H168" s="558" t="s">
        <v>1051</v>
      </c>
      <c r="I168" s="558" t="s">
        <v>1463</v>
      </c>
      <c r="J168" s="558" t="s">
        <v>1257</v>
      </c>
      <c r="K168" s="558" t="s">
        <v>1439</v>
      </c>
      <c r="L168" s="562" t="s">
        <v>1464</v>
      </c>
      <c r="M168" s="558"/>
      <c r="N168" s="563" t="s">
        <v>1466</v>
      </c>
      <c r="O168" s="48"/>
      <c r="P168" s="43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</row>
    <row r="169">
      <c r="A169" s="558" t="s">
        <v>1047</v>
      </c>
      <c r="B169" s="559">
        <v>45157.0</v>
      </c>
      <c r="C169" s="560">
        <v>45156.89097222222</v>
      </c>
      <c r="D169" s="561">
        <v>-108.43</v>
      </c>
      <c r="E169" s="558" t="s">
        <v>1435</v>
      </c>
      <c r="F169" s="558" t="s">
        <v>1436</v>
      </c>
      <c r="G169" s="558" t="s">
        <v>1437</v>
      </c>
      <c r="H169" s="558" t="s">
        <v>1051</v>
      </c>
      <c r="I169" s="558" t="s">
        <v>1438</v>
      </c>
      <c r="J169" s="558" t="s">
        <v>1257</v>
      </c>
      <c r="K169" s="558" t="s">
        <v>1439</v>
      </c>
      <c r="L169" s="562" t="s">
        <v>1467</v>
      </c>
      <c r="M169" s="558"/>
      <c r="N169" s="563" t="s">
        <v>1468</v>
      </c>
      <c r="O169" s="48"/>
      <c r="P169" s="43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</row>
    <row r="170">
      <c r="A170" s="558" t="s">
        <v>1448</v>
      </c>
      <c r="B170" s="559">
        <v>45159.0</v>
      </c>
      <c r="C170" s="560">
        <v>45158.854166666664</v>
      </c>
      <c r="D170" s="561">
        <v>-15.9</v>
      </c>
      <c r="E170" s="558" t="s">
        <v>1435</v>
      </c>
      <c r="F170" s="558" t="s">
        <v>1436</v>
      </c>
      <c r="G170" s="558" t="s">
        <v>1437</v>
      </c>
      <c r="H170" s="558" t="s">
        <v>1051</v>
      </c>
      <c r="I170" s="558" t="s">
        <v>1463</v>
      </c>
      <c r="J170" s="558" t="s">
        <v>1257</v>
      </c>
      <c r="K170" s="558" t="s">
        <v>1439</v>
      </c>
      <c r="L170" s="562" t="s">
        <v>1464</v>
      </c>
      <c r="M170" s="558"/>
      <c r="N170" s="563" t="s">
        <v>1469</v>
      </c>
      <c r="O170" s="48"/>
      <c r="P170" s="43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</row>
    <row r="171">
      <c r="A171" s="558" t="s">
        <v>1448</v>
      </c>
      <c r="B171" s="559">
        <v>45159.0</v>
      </c>
      <c r="C171" s="560">
        <v>45158.90138888889</v>
      </c>
      <c r="D171" s="561">
        <v>-16.45</v>
      </c>
      <c r="E171" s="558" t="s">
        <v>1435</v>
      </c>
      <c r="F171" s="558" t="s">
        <v>1436</v>
      </c>
      <c r="G171" s="558" t="s">
        <v>1437</v>
      </c>
      <c r="H171" s="558" t="s">
        <v>1051</v>
      </c>
      <c r="I171" s="558" t="s">
        <v>1463</v>
      </c>
      <c r="J171" s="558" t="s">
        <v>1257</v>
      </c>
      <c r="K171" s="558" t="s">
        <v>1439</v>
      </c>
      <c r="L171" s="562" t="s">
        <v>1464</v>
      </c>
      <c r="M171" s="558"/>
      <c r="N171" s="563" t="s">
        <v>1470</v>
      </c>
      <c r="O171" s="48"/>
      <c r="P171" s="43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</row>
    <row r="172">
      <c r="A172" s="558" t="s">
        <v>1047</v>
      </c>
      <c r="B172" s="559">
        <v>45159.0</v>
      </c>
      <c r="C172" s="560">
        <v>45156.16805555556</v>
      </c>
      <c r="D172" s="561">
        <v>-449.74</v>
      </c>
      <c r="E172" s="558" t="s">
        <v>1435</v>
      </c>
      <c r="F172" s="558" t="s">
        <v>1436</v>
      </c>
      <c r="G172" s="558" t="s">
        <v>1437</v>
      </c>
      <c r="H172" s="558" t="s">
        <v>1051</v>
      </c>
      <c r="I172" s="558" t="s">
        <v>1438</v>
      </c>
      <c r="J172" s="558" t="s">
        <v>1257</v>
      </c>
      <c r="K172" s="558" t="s">
        <v>1439</v>
      </c>
      <c r="L172" s="562" t="s">
        <v>1467</v>
      </c>
      <c r="M172" s="558"/>
      <c r="N172" s="563" t="s">
        <v>1471</v>
      </c>
      <c r="O172" s="48"/>
      <c r="P172" s="43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</row>
    <row r="173">
      <c r="A173" s="558" t="s">
        <v>1047</v>
      </c>
      <c r="B173" s="559">
        <v>45159.0</v>
      </c>
      <c r="C173" s="560">
        <v>45158.41180555556</v>
      </c>
      <c r="D173" s="561">
        <v>-144.42</v>
      </c>
      <c r="E173" s="558" t="s">
        <v>1435</v>
      </c>
      <c r="F173" s="558" t="s">
        <v>1436</v>
      </c>
      <c r="G173" s="558" t="s">
        <v>1437</v>
      </c>
      <c r="H173" s="558" t="s">
        <v>1051</v>
      </c>
      <c r="I173" s="558" t="s">
        <v>1438</v>
      </c>
      <c r="J173" s="558" t="s">
        <v>1257</v>
      </c>
      <c r="K173" s="558" t="s">
        <v>1439</v>
      </c>
      <c r="L173" s="562" t="s">
        <v>1467</v>
      </c>
      <c r="M173" s="558"/>
      <c r="N173" s="563" t="s">
        <v>1472</v>
      </c>
      <c r="O173" s="48"/>
      <c r="P173" s="43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</row>
    <row r="174">
      <c r="A174" s="558" t="s">
        <v>1047</v>
      </c>
      <c r="B174" s="559">
        <v>45160.0</v>
      </c>
      <c r="C174" s="560">
        <v>45159.736805555556</v>
      </c>
      <c r="D174" s="561">
        <v>-26.98</v>
      </c>
      <c r="E174" s="558" t="s">
        <v>1435</v>
      </c>
      <c r="F174" s="558" t="s">
        <v>1436</v>
      </c>
      <c r="G174" s="558" t="s">
        <v>1437</v>
      </c>
      <c r="H174" s="558" t="s">
        <v>1051</v>
      </c>
      <c r="I174" s="558" t="s">
        <v>1463</v>
      </c>
      <c r="J174" s="558" t="s">
        <v>1257</v>
      </c>
      <c r="K174" s="558" t="s">
        <v>1439</v>
      </c>
      <c r="L174" s="562" t="s">
        <v>1464</v>
      </c>
      <c r="M174" s="558"/>
      <c r="N174" s="563" t="s">
        <v>1473</v>
      </c>
      <c r="O174" s="48"/>
      <c r="P174" s="43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</row>
    <row r="175">
      <c r="A175" s="558" t="s">
        <v>1474</v>
      </c>
      <c r="B175" s="559">
        <v>45160.0</v>
      </c>
      <c r="C175" s="560">
        <v>45159.739583333336</v>
      </c>
      <c r="D175" s="561">
        <v>-29.99</v>
      </c>
      <c r="E175" s="558" t="s">
        <v>1435</v>
      </c>
      <c r="F175" s="558" t="s">
        <v>1436</v>
      </c>
      <c r="G175" s="558" t="s">
        <v>1437</v>
      </c>
      <c r="H175" s="558" t="s">
        <v>1051</v>
      </c>
      <c r="I175" s="558" t="s">
        <v>1463</v>
      </c>
      <c r="J175" s="558" t="s">
        <v>1257</v>
      </c>
      <c r="K175" s="558" t="s">
        <v>1439</v>
      </c>
      <c r="L175" s="562" t="s">
        <v>1464</v>
      </c>
      <c r="M175" s="558"/>
      <c r="N175" s="563" t="s">
        <v>1475</v>
      </c>
      <c r="O175" s="48"/>
      <c r="P175" s="43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</row>
    <row r="176">
      <c r="A176" s="562" t="s">
        <v>1173</v>
      </c>
      <c r="B176" s="559">
        <v>45160.0</v>
      </c>
      <c r="C176" s="560">
        <v>45159.8</v>
      </c>
      <c r="D176" s="561">
        <v>-26.99</v>
      </c>
      <c r="E176" s="558" t="s">
        <v>1435</v>
      </c>
      <c r="F176" s="558" t="s">
        <v>1436</v>
      </c>
      <c r="G176" s="558" t="s">
        <v>1437</v>
      </c>
      <c r="H176" s="558" t="s">
        <v>1051</v>
      </c>
      <c r="I176" s="558" t="s">
        <v>1463</v>
      </c>
      <c r="J176" s="558" t="s">
        <v>1257</v>
      </c>
      <c r="K176" s="558" t="s">
        <v>1439</v>
      </c>
      <c r="L176" s="562" t="s">
        <v>1464</v>
      </c>
      <c r="M176" s="558"/>
      <c r="N176" s="563" t="s">
        <v>1476</v>
      </c>
      <c r="O176" s="48"/>
      <c r="P176" s="43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</row>
    <row r="177">
      <c r="A177" s="558" t="s">
        <v>1047</v>
      </c>
      <c r="B177" s="559">
        <v>45160.0</v>
      </c>
      <c r="C177" s="560">
        <v>45159.88055555556</v>
      </c>
      <c r="D177" s="561">
        <v>-6.92</v>
      </c>
      <c r="E177" s="558" t="s">
        <v>1435</v>
      </c>
      <c r="F177" s="558" t="s">
        <v>1436</v>
      </c>
      <c r="G177" s="558" t="s">
        <v>1437</v>
      </c>
      <c r="H177" s="558" t="s">
        <v>1051</v>
      </c>
      <c r="I177" s="558" t="s">
        <v>1463</v>
      </c>
      <c r="J177" s="558" t="s">
        <v>1257</v>
      </c>
      <c r="K177" s="558" t="s">
        <v>1439</v>
      </c>
      <c r="L177" s="562" t="s">
        <v>1464</v>
      </c>
      <c r="M177" s="558"/>
      <c r="N177" s="563" t="s">
        <v>1477</v>
      </c>
      <c r="O177" s="48"/>
      <c r="P177" s="43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</row>
    <row r="178">
      <c r="A178" s="558" t="s">
        <v>1047</v>
      </c>
      <c r="B178" s="559">
        <v>45160.0</v>
      </c>
      <c r="C178" s="560">
        <v>45159.88263888889</v>
      </c>
      <c r="D178" s="561">
        <v>-19.9</v>
      </c>
      <c r="E178" s="558" t="s">
        <v>1435</v>
      </c>
      <c r="F178" s="558" t="s">
        <v>1436</v>
      </c>
      <c r="G178" s="558" t="s">
        <v>1437</v>
      </c>
      <c r="H178" s="558" t="s">
        <v>1051</v>
      </c>
      <c r="I178" s="558" t="s">
        <v>1463</v>
      </c>
      <c r="J178" s="558" t="s">
        <v>1257</v>
      </c>
      <c r="K178" s="558" t="s">
        <v>1439</v>
      </c>
      <c r="L178" s="562" t="s">
        <v>1464</v>
      </c>
      <c r="M178" s="558"/>
      <c r="N178" s="563" t="s">
        <v>1478</v>
      </c>
      <c r="O178" s="48"/>
      <c r="P178" s="43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</row>
    <row r="179">
      <c r="A179" s="562" t="s">
        <v>1173</v>
      </c>
      <c r="B179" s="559">
        <v>45160.0</v>
      </c>
      <c r="C179" s="560">
        <v>45159.88402777778</v>
      </c>
      <c r="D179" s="561">
        <v>-17.97</v>
      </c>
      <c r="E179" s="558" t="s">
        <v>1435</v>
      </c>
      <c r="F179" s="558" t="s">
        <v>1436</v>
      </c>
      <c r="G179" s="558" t="s">
        <v>1437</v>
      </c>
      <c r="H179" s="558" t="s">
        <v>1051</v>
      </c>
      <c r="I179" s="558" t="s">
        <v>1463</v>
      </c>
      <c r="J179" s="558" t="s">
        <v>1257</v>
      </c>
      <c r="K179" s="558" t="s">
        <v>1439</v>
      </c>
      <c r="L179" s="562" t="s">
        <v>1464</v>
      </c>
      <c r="M179" s="558"/>
      <c r="N179" s="563" t="s">
        <v>1479</v>
      </c>
      <c r="O179" s="48"/>
      <c r="P179" s="43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</row>
    <row r="180">
      <c r="A180" s="558" t="s">
        <v>1047</v>
      </c>
      <c r="B180" s="559">
        <v>45160.0</v>
      </c>
      <c r="C180" s="560">
        <v>45159.941666666666</v>
      </c>
      <c r="D180" s="561">
        <v>-6.99</v>
      </c>
      <c r="E180" s="558" t="s">
        <v>1435</v>
      </c>
      <c r="F180" s="558" t="s">
        <v>1436</v>
      </c>
      <c r="G180" s="558" t="s">
        <v>1437</v>
      </c>
      <c r="H180" s="558" t="s">
        <v>1051</v>
      </c>
      <c r="I180" s="558" t="s">
        <v>1463</v>
      </c>
      <c r="J180" s="558" t="s">
        <v>1257</v>
      </c>
      <c r="K180" s="558" t="s">
        <v>1439</v>
      </c>
      <c r="L180" s="562" t="s">
        <v>1464</v>
      </c>
      <c r="M180" s="558"/>
      <c r="N180" s="563" t="s">
        <v>1480</v>
      </c>
      <c r="O180" s="48"/>
      <c r="P180" s="43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</row>
    <row r="181">
      <c r="A181" s="558" t="s">
        <v>1047</v>
      </c>
      <c r="B181" s="559">
        <v>45161.0</v>
      </c>
      <c r="C181" s="560">
        <v>45159.885416666664</v>
      </c>
      <c r="D181" s="561">
        <v>-115.66</v>
      </c>
      <c r="E181" s="558" t="s">
        <v>1435</v>
      </c>
      <c r="F181" s="558" t="s">
        <v>1436</v>
      </c>
      <c r="G181" s="558" t="s">
        <v>1437</v>
      </c>
      <c r="H181" s="558" t="s">
        <v>1051</v>
      </c>
      <c r="I181" s="558" t="s">
        <v>1481</v>
      </c>
      <c r="J181" s="558" t="s">
        <v>1053</v>
      </c>
      <c r="K181" s="558"/>
      <c r="L181" s="562" t="s">
        <v>1482</v>
      </c>
      <c r="M181" s="558"/>
      <c r="N181" s="563" t="s">
        <v>1483</v>
      </c>
      <c r="O181" s="48"/>
      <c r="P181" s="43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</row>
    <row r="182">
      <c r="A182" s="558" t="s">
        <v>1047</v>
      </c>
      <c r="B182" s="559">
        <v>45161.0</v>
      </c>
      <c r="C182" s="560">
        <v>45159.88611111111</v>
      </c>
      <c r="D182" s="561">
        <v>-67.79</v>
      </c>
      <c r="E182" s="558" t="s">
        <v>1435</v>
      </c>
      <c r="F182" s="558" t="s">
        <v>1436</v>
      </c>
      <c r="G182" s="558" t="s">
        <v>1437</v>
      </c>
      <c r="H182" s="558" t="s">
        <v>1051</v>
      </c>
      <c r="I182" s="558" t="s">
        <v>1481</v>
      </c>
      <c r="J182" s="558" t="s">
        <v>1053</v>
      </c>
      <c r="K182" s="558"/>
      <c r="L182" s="562" t="s">
        <v>1482</v>
      </c>
      <c r="M182" s="558"/>
      <c r="N182" s="563" t="s">
        <v>1484</v>
      </c>
      <c r="O182" s="48"/>
      <c r="P182" s="43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</row>
    <row r="183">
      <c r="A183" s="558" t="s">
        <v>1047</v>
      </c>
      <c r="B183" s="559">
        <v>45161.0</v>
      </c>
      <c r="C183" s="560">
        <v>45159.74236111111</v>
      </c>
      <c r="D183" s="561">
        <v>-20.38</v>
      </c>
      <c r="E183" s="558" t="s">
        <v>1435</v>
      </c>
      <c r="F183" s="558" t="s">
        <v>1436</v>
      </c>
      <c r="G183" s="558" t="s">
        <v>1437</v>
      </c>
      <c r="H183" s="558" t="s">
        <v>1051</v>
      </c>
      <c r="I183" s="558" t="s">
        <v>1463</v>
      </c>
      <c r="J183" s="558" t="s">
        <v>1257</v>
      </c>
      <c r="K183" s="558" t="s">
        <v>1439</v>
      </c>
      <c r="L183" s="562" t="s">
        <v>1464</v>
      </c>
      <c r="M183" s="558"/>
      <c r="N183" s="563" t="s">
        <v>1485</v>
      </c>
      <c r="O183" s="48"/>
      <c r="P183" s="43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</row>
    <row r="184">
      <c r="A184" s="558" t="s">
        <v>1047</v>
      </c>
      <c r="B184" s="559">
        <v>45161.0</v>
      </c>
      <c r="C184" s="560">
        <v>45159.88055555556</v>
      </c>
      <c r="D184" s="561">
        <v>-9.35</v>
      </c>
      <c r="E184" s="558" t="s">
        <v>1435</v>
      </c>
      <c r="F184" s="558" t="s">
        <v>1436</v>
      </c>
      <c r="G184" s="558" t="s">
        <v>1437</v>
      </c>
      <c r="H184" s="558" t="s">
        <v>1051</v>
      </c>
      <c r="I184" s="558" t="s">
        <v>1463</v>
      </c>
      <c r="J184" s="558" t="s">
        <v>1257</v>
      </c>
      <c r="K184" s="558" t="s">
        <v>1439</v>
      </c>
      <c r="L184" s="562" t="s">
        <v>1464</v>
      </c>
      <c r="M184" s="558"/>
      <c r="N184" s="563" t="s">
        <v>1486</v>
      </c>
      <c r="O184" s="48"/>
      <c r="P184" s="43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</row>
    <row r="185">
      <c r="A185" s="558" t="s">
        <v>1047</v>
      </c>
      <c r="B185" s="559">
        <v>45161.0</v>
      </c>
      <c r="C185" s="560">
        <v>45159.881944444445</v>
      </c>
      <c r="D185" s="561">
        <v>-51.77</v>
      </c>
      <c r="E185" s="558" t="s">
        <v>1435</v>
      </c>
      <c r="F185" s="558" t="s">
        <v>1436</v>
      </c>
      <c r="G185" s="558" t="s">
        <v>1437</v>
      </c>
      <c r="H185" s="558" t="s">
        <v>1051</v>
      </c>
      <c r="I185" s="558" t="s">
        <v>1463</v>
      </c>
      <c r="J185" s="558" t="s">
        <v>1257</v>
      </c>
      <c r="K185" s="558" t="s">
        <v>1439</v>
      </c>
      <c r="L185" s="562" t="s">
        <v>1464</v>
      </c>
      <c r="M185" s="558"/>
      <c r="N185" s="563" t="s">
        <v>1487</v>
      </c>
      <c r="O185" s="48"/>
      <c r="P185" s="43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</row>
    <row r="186">
      <c r="A186" s="558" t="s">
        <v>1047</v>
      </c>
      <c r="B186" s="559">
        <v>45161.0</v>
      </c>
      <c r="C186" s="560">
        <v>45159.96944444445</v>
      </c>
      <c r="D186" s="561">
        <v>-27.99</v>
      </c>
      <c r="E186" s="558" t="s">
        <v>1435</v>
      </c>
      <c r="F186" s="558" t="s">
        <v>1436</v>
      </c>
      <c r="G186" s="558" t="s">
        <v>1437</v>
      </c>
      <c r="H186" s="558" t="s">
        <v>1051</v>
      </c>
      <c r="I186" s="558" t="s">
        <v>1463</v>
      </c>
      <c r="J186" s="558" t="s">
        <v>1257</v>
      </c>
      <c r="K186" s="558" t="s">
        <v>1439</v>
      </c>
      <c r="L186" s="562" t="s">
        <v>1464</v>
      </c>
      <c r="M186" s="558"/>
      <c r="N186" s="563" t="s">
        <v>1488</v>
      </c>
      <c r="O186" s="48"/>
      <c r="P186" s="43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</row>
    <row r="187">
      <c r="A187" s="558" t="s">
        <v>1047</v>
      </c>
      <c r="B187" s="559">
        <v>45161.0</v>
      </c>
      <c r="C187" s="560">
        <v>45159.802083333336</v>
      </c>
      <c r="D187" s="561">
        <v>-77.09</v>
      </c>
      <c r="E187" s="558" t="s">
        <v>1435</v>
      </c>
      <c r="F187" s="558" t="s">
        <v>1436</v>
      </c>
      <c r="G187" s="558" t="s">
        <v>1437</v>
      </c>
      <c r="H187" s="558" t="s">
        <v>1051</v>
      </c>
      <c r="I187" s="558" t="s">
        <v>1438</v>
      </c>
      <c r="J187" s="558" t="s">
        <v>1257</v>
      </c>
      <c r="K187" s="558" t="s">
        <v>1439</v>
      </c>
      <c r="L187" s="562" t="s">
        <v>1467</v>
      </c>
      <c r="M187" s="558"/>
      <c r="N187" s="563" t="s">
        <v>1489</v>
      </c>
      <c r="O187" s="48"/>
      <c r="P187" s="43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</row>
    <row r="188">
      <c r="A188" s="558" t="s">
        <v>1047</v>
      </c>
      <c r="B188" s="559">
        <v>45161.0</v>
      </c>
      <c r="C188" s="560">
        <v>45159.88055555556</v>
      </c>
      <c r="D188" s="561">
        <v>-79.11</v>
      </c>
      <c r="E188" s="558" t="s">
        <v>1435</v>
      </c>
      <c r="F188" s="558" t="s">
        <v>1436</v>
      </c>
      <c r="G188" s="558" t="s">
        <v>1437</v>
      </c>
      <c r="H188" s="558" t="s">
        <v>1051</v>
      </c>
      <c r="I188" s="558" t="s">
        <v>1438</v>
      </c>
      <c r="J188" s="558" t="s">
        <v>1257</v>
      </c>
      <c r="K188" s="558" t="s">
        <v>1439</v>
      </c>
      <c r="L188" s="562" t="s">
        <v>1467</v>
      </c>
      <c r="M188" s="558"/>
      <c r="N188" s="563" t="s">
        <v>1490</v>
      </c>
      <c r="O188" s="48"/>
      <c r="P188" s="43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</row>
    <row r="189">
      <c r="A189" s="558" t="s">
        <v>1047</v>
      </c>
      <c r="B189" s="559">
        <v>45162.0</v>
      </c>
      <c r="C189" s="560">
        <v>45160.50347222222</v>
      </c>
      <c r="D189" s="561">
        <v>-17.77</v>
      </c>
      <c r="E189" s="558" t="s">
        <v>1435</v>
      </c>
      <c r="F189" s="558" t="s">
        <v>1436</v>
      </c>
      <c r="G189" s="558" t="s">
        <v>1437</v>
      </c>
      <c r="H189" s="558" t="s">
        <v>1051</v>
      </c>
      <c r="I189" s="558" t="s">
        <v>1463</v>
      </c>
      <c r="J189" s="558" t="s">
        <v>1257</v>
      </c>
      <c r="K189" s="558" t="s">
        <v>1439</v>
      </c>
      <c r="L189" s="562" t="s">
        <v>1464</v>
      </c>
      <c r="M189" s="558"/>
      <c r="N189" s="563" t="s">
        <v>1491</v>
      </c>
      <c r="O189" s="48"/>
      <c r="P189" s="43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</row>
    <row r="190">
      <c r="A190" s="558" t="s">
        <v>1047</v>
      </c>
      <c r="B190" s="559">
        <v>45162.0</v>
      </c>
      <c r="C190" s="560">
        <v>45159.74166666667</v>
      </c>
      <c r="D190" s="561">
        <v>-76.95</v>
      </c>
      <c r="E190" s="558" t="s">
        <v>1435</v>
      </c>
      <c r="F190" s="558" t="s">
        <v>1436</v>
      </c>
      <c r="G190" s="558" t="s">
        <v>1437</v>
      </c>
      <c r="H190" s="558" t="s">
        <v>1051</v>
      </c>
      <c r="I190" s="558" t="s">
        <v>1438</v>
      </c>
      <c r="J190" s="558" t="s">
        <v>1257</v>
      </c>
      <c r="K190" s="558" t="s">
        <v>1439</v>
      </c>
      <c r="L190" s="562" t="s">
        <v>1467</v>
      </c>
      <c r="M190" s="558"/>
      <c r="N190" s="563" t="s">
        <v>1492</v>
      </c>
      <c r="O190" s="48"/>
      <c r="P190" s="43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</row>
    <row r="191">
      <c r="A191" s="558" t="s">
        <v>1493</v>
      </c>
      <c r="B191" s="559">
        <v>45142.0</v>
      </c>
      <c r="C191" s="560">
        <v>45141.78888888889</v>
      </c>
      <c r="D191" s="561">
        <v>-92.24</v>
      </c>
      <c r="E191" s="558" t="s">
        <v>1494</v>
      </c>
      <c r="F191" s="558" t="s">
        <v>1495</v>
      </c>
      <c r="G191" s="558" t="s">
        <v>1496</v>
      </c>
      <c r="H191" s="558" t="s">
        <v>1051</v>
      </c>
      <c r="I191" s="558" t="s">
        <v>1497</v>
      </c>
      <c r="J191" s="558" t="s">
        <v>1257</v>
      </c>
      <c r="K191" s="558" t="s">
        <v>1439</v>
      </c>
      <c r="L191" s="562" t="s">
        <v>1498</v>
      </c>
      <c r="M191" s="558" t="s">
        <v>1497</v>
      </c>
      <c r="N191" s="563" t="s">
        <v>1499</v>
      </c>
      <c r="O191" s="48"/>
      <c r="P191" s="43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</row>
    <row r="192">
      <c r="A192" s="558" t="s">
        <v>1500</v>
      </c>
      <c r="B192" s="559">
        <v>45148.0</v>
      </c>
      <c r="C192" s="560">
        <v>45147.044444444444</v>
      </c>
      <c r="D192" s="561">
        <v>-162.17</v>
      </c>
      <c r="E192" s="558" t="s">
        <v>1494</v>
      </c>
      <c r="F192" s="558" t="s">
        <v>1495</v>
      </c>
      <c r="G192" s="558" t="s">
        <v>1496</v>
      </c>
      <c r="H192" s="558" t="s">
        <v>1051</v>
      </c>
      <c r="I192" s="558" t="s">
        <v>1497</v>
      </c>
      <c r="J192" s="558" t="s">
        <v>1257</v>
      </c>
      <c r="K192" s="558" t="s">
        <v>1439</v>
      </c>
      <c r="L192" s="562" t="s">
        <v>1501</v>
      </c>
      <c r="M192" s="558" t="s">
        <v>1497</v>
      </c>
      <c r="N192" s="563" t="s">
        <v>1502</v>
      </c>
      <c r="O192" s="48"/>
      <c r="P192" s="43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</row>
    <row r="193">
      <c r="A193" s="558" t="s">
        <v>1503</v>
      </c>
      <c r="B193" s="559">
        <v>45150.0</v>
      </c>
      <c r="C193" s="560">
        <v>45149.86875</v>
      </c>
      <c r="D193" s="561">
        <v>-158.98</v>
      </c>
      <c r="E193" s="558" t="s">
        <v>1494</v>
      </c>
      <c r="F193" s="558" t="s">
        <v>1495</v>
      </c>
      <c r="G193" s="558" t="s">
        <v>1496</v>
      </c>
      <c r="H193" s="558" t="s">
        <v>1051</v>
      </c>
      <c r="I193" s="558" t="s">
        <v>1497</v>
      </c>
      <c r="J193" s="558" t="s">
        <v>1257</v>
      </c>
      <c r="K193" s="558" t="s">
        <v>1439</v>
      </c>
      <c r="L193" s="562" t="s">
        <v>1504</v>
      </c>
      <c r="M193" s="558" t="s">
        <v>1505</v>
      </c>
      <c r="N193" s="563" t="s">
        <v>1506</v>
      </c>
      <c r="O193" s="48"/>
      <c r="P193" s="43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</row>
    <row r="194">
      <c r="A194" s="558" t="s">
        <v>1507</v>
      </c>
      <c r="B194" s="559">
        <v>45150.0</v>
      </c>
      <c r="C194" s="560">
        <v>45148.71805555555</v>
      </c>
      <c r="D194" s="561">
        <v>-244.02</v>
      </c>
      <c r="E194" s="558" t="s">
        <v>1494</v>
      </c>
      <c r="F194" s="558" t="s">
        <v>1495</v>
      </c>
      <c r="G194" s="558" t="s">
        <v>1496</v>
      </c>
      <c r="H194" s="558" t="s">
        <v>1051</v>
      </c>
      <c r="I194" s="558" t="s">
        <v>1497</v>
      </c>
      <c r="J194" s="558" t="s">
        <v>1257</v>
      </c>
      <c r="K194" s="558" t="s">
        <v>1439</v>
      </c>
      <c r="L194" s="562" t="s">
        <v>1508</v>
      </c>
      <c r="M194" s="558" t="s">
        <v>1509</v>
      </c>
      <c r="N194" s="563" t="s">
        <v>1510</v>
      </c>
      <c r="O194" s="48"/>
      <c r="P194" s="43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</row>
    <row r="195">
      <c r="A195" s="558" t="s">
        <v>1511</v>
      </c>
      <c r="B195" s="559">
        <v>45152.0</v>
      </c>
      <c r="C195" s="560">
        <v>45151.955555555556</v>
      </c>
      <c r="D195" s="561">
        <v>-195.81</v>
      </c>
      <c r="E195" s="558" t="s">
        <v>1494</v>
      </c>
      <c r="F195" s="558" t="s">
        <v>1495</v>
      </c>
      <c r="G195" s="558" t="s">
        <v>1496</v>
      </c>
      <c r="H195" s="558" t="s">
        <v>1051</v>
      </c>
      <c r="I195" s="558" t="s">
        <v>1497</v>
      </c>
      <c r="J195" s="558" t="s">
        <v>1257</v>
      </c>
      <c r="K195" s="558" t="s">
        <v>1439</v>
      </c>
      <c r="L195" s="562" t="s">
        <v>1512</v>
      </c>
      <c r="M195" s="558" t="s">
        <v>1513</v>
      </c>
      <c r="N195" s="563" t="s">
        <v>1514</v>
      </c>
      <c r="O195" s="48"/>
      <c r="P195" s="43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</row>
    <row r="196">
      <c r="A196" s="558" t="s">
        <v>1456</v>
      </c>
      <c r="B196" s="559">
        <v>45153.0</v>
      </c>
      <c r="C196" s="560">
        <v>45152.751388888886</v>
      </c>
      <c r="D196" s="561">
        <v>-212.55</v>
      </c>
      <c r="E196" s="558" t="s">
        <v>1494</v>
      </c>
      <c r="F196" s="558" t="s">
        <v>1495</v>
      </c>
      <c r="G196" s="558" t="s">
        <v>1496</v>
      </c>
      <c r="H196" s="558" t="s">
        <v>1051</v>
      </c>
      <c r="I196" s="558" t="s">
        <v>1497</v>
      </c>
      <c r="J196" s="558" t="s">
        <v>1257</v>
      </c>
      <c r="K196" s="558" t="s">
        <v>1439</v>
      </c>
      <c r="L196" s="562" t="s">
        <v>1515</v>
      </c>
      <c r="M196" s="558" t="s">
        <v>1516</v>
      </c>
      <c r="N196" s="563" t="s">
        <v>1517</v>
      </c>
      <c r="O196" s="48"/>
      <c r="P196" s="43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</row>
    <row r="197">
      <c r="A197" s="558" t="s">
        <v>1518</v>
      </c>
      <c r="B197" s="559">
        <v>45154.0</v>
      </c>
      <c r="C197" s="560">
        <v>45152.80972222222</v>
      </c>
      <c r="D197" s="561">
        <v>-244.24</v>
      </c>
      <c r="E197" s="558" t="s">
        <v>1494</v>
      </c>
      <c r="F197" s="558" t="s">
        <v>1495</v>
      </c>
      <c r="G197" s="558" t="s">
        <v>1496</v>
      </c>
      <c r="H197" s="558" t="s">
        <v>1051</v>
      </c>
      <c r="I197" s="558" t="s">
        <v>1497</v>
      </c>
      <c r="J197" s="558" t="s">
        <v>1053</v>
      </c>
      <c r="K197" s="558" t="s">
        <v>1439</v>
      </c>
      <c r="L197" s="562" t="s">
        <v>1519</v>
      </c>
      <c r="M197" s="558" t="s">
        <v>1520</v>
      </c>
      <c r="N197" s="563" t="s">
        <v>1521</v>
      </c>
      <c r="O197" s="48"/>
      <c r="P197" s="43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</row>
    <row r="198">
      <c r="A198" s="558" t="s">
        <v>1047</v>
      </c>
      <c r="B198" s="559">
        <v>45157.0</v>
      </c>
      <c r="C198" s="560">
        <v>45156.197222222225</v>
      </c>
      <c r="D198" s="561">
        <v>-41.9</v>
      </c>
      <c r="E198" s="558" t="s">
        <v>1494</v>
      </c>
      <c r="F198" s="558" t="s">
        <v>1495</v>
      </c>
      <c r="G198" s="558" t="s">
        <v>1496</v>
      </c>
      <c r="H198" s="558" t="s">
        <v>1051</v>
      </c>
      <c r="I198" s="558" t="s">
        <v>1497</v>
      </c>
      <c r="J198" s="558" t="s">
        <v>1257</v>
      </c>
      <c r="K198" s="558" t="s">
        <v>1439</v>
      </c>
      <c r="L198" s="562" t="s">
        <v>1522</v>
      </c>
      <c r="M198" s="558" t="s">
        <v>1523</v>
      </c>
      <c r="N198" s="563" t="s">
        <v>1524</v>
      </c>
      <c r="O198" s="48"/>
      <c r="P198" s="43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</row>
    <row r="199">
      <c r="A199" s="558" t="s">
        <v>1070</v>
      </c>
      <c r="B199" s="559">
        <v>45160.0</v>
      </c>
      <c r="C199" s="560">
        <v>45159.90555555555</v>
      </c>
      <c r="D199" s="561">
        <v>-66.48</v>
      </c>
      <c r="E199" s="558" t="s">
        <v>1494</v>
      </c>
      <c r="F199" s="558" t="s">
        <v>1495</v>
      </c>
      <c r="G199" s="558" t="s">
        <v>1496</v>
      </c>
      <c r="H199" s="558" t="s">
        <v>1051</v>
      </c>
      <c r="I199" s="558" t="s">
        <v>1497</v>
      </c>
      <c r="J199" s="558" t="s">
        <v>1053</v>
      </c>
      <c r="K199" s="558" t="s">
        <v>1439</v>
      </c>
      <c r="L199" s="562" t="s">
        <v>1525</v>
      </c>
      <c r="M199" s="558" t="s">
        <v>1526</v>
      </c>
      <c r="N199" s="563" t="s">
        <v>1527</v>
      </c>
      <c r="O199" s="48"/>
      <c r="P199" s="43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</row>
    <row r="200">
      <c r="A200" s="558" t="s">
        <v>1528</v>
      </c>
      <c r="B200" s="559">
        <v>45162.0</v>
      </c>
      <c r="C200" s="560">
        <v>45161.75347222222</v>
      </c>
      <c r="D200" s="561">
        <v>-168.58</v>
      </c>
      <c r="E200" s="558" t="s">
        <v>1494</v>
      </c>
      <c r="F200" s="558" t="s">
        <v>1495</v>
      </c>
      <c r="G200" s="558" t="s">
        <v>1496</v>
      </c>
      <c r="H200" s="558" t="s">
        <v>1051</v>
      </c>
      <c r="I200" s="558" t="s">
        <v>1497</v>
      </c>
      <c r="J200" s="558" t="s">
        <v>1257</v>
      </c>
      <c r="K200" s="558" t="s">
        <v>1439</v>
      </c>
      <c r="L200" s="562" t="s">
        <v>1529</v>
      </c>
      <c r="M200" s="558" t="s">
        <v>1530</v>
      </c>
      <c r="N200" s="563" t="s">
        <v>1531</v>
      </c>
      <c r="O200" s="48"/>
      <c r="P200" s="43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</row>
    <row r="201">
      <c r="A201" s="558" t="s">
        <v>1532</v>
      </c>
      <c r="B201" s="559">
        <v>45163.0</v>
      </c>
      <c r="C201" s="560">
        <v>45162.6875</v>
      </c>
      <c r="D201" s="561">
        <v>-85.37</v>
      </c>
      <c r="E201" s="558" t="s">
        <v>1494</v>
      </c>
      <c r="F201" s="558" t="s">
        <v>1495</v>
      </c>
      <c r="G201" s="558" t="s">
        <v>1496</v>
      </c>
      <c r="H201" s="558" t="s">
        <v>1051</v>
      </c>
      <c r="I201" s="558" t="s">
        <v>1497</v>
      </c>
      <c r="J201" s="558" t="s">
        <v>1257</v>
      </c>
      <c r="K201" s="558" t="s">
        <v>1439</v>
      </c>
      <c r="L201" s="562" t="s">
        <v>1533</v>
      </c>
      <c r="M201" s="558" t="s">
        <v>1534</v>
      </c>
      <c r="N201" s="563" t="s">
        <v>1535</v>
      </c>
      <c r="O201" s="48"/>
      <c r="P201" s="43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</row>
    <row r="202">
      <c r="A202" s="558" t="s">
        <v>1536</v>
      </c>
      <c r="B202" s="559">
        <v>45144.0</v>
      </c>
      <c r="C202" s="560">
        <v>45143.674305555556</v>
      </c>
      <c r="D202" s="561">
        <v>-93.16</v>
      </c>
      <c r="E202" s="558" t="s">
        <v>1537</v>
      </c>
      <c r="F202" s="558" t="s">
        <v>1538</v>
      </c>
      <c r="G202" s="558" t="s">
        <v>1539</v>
      </c>
      <c r="H202" s="558" t="s">
        <v>1051</v>
      </c>
      <c r="I202" s="558" t="s">
        <v>1540</v>
      </c>
      <c r="J202" s="558" t="s">
        <v>1075</v>
      </c>
      <c r="K202" s="558" t="s">
        <v>1076</v>
      </c>
      <c r="L202" s="562" t="s">
        <v>1541</v>
      </c>
      <c r="M202" s="558" t="s">
        <v>1542</v>
      </c>
      <c r="N202" s="563" t="s">
        <v>1543</v>
      </c>
      <c r="O202" s="48"/>
      <c r="P202" s="43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</row>
    <row r="203">
      <c r="A203" s="558" t="s">
        <v>1047</v>
      </c>
      <c r="B203" s="559">
        <v>45157.0</v>
      </c>
      <c r="C203" s="560">
        <v>45155.60902777778</v>
      </c>
      <c r="D203" s="561">
        <v>-279.1</v>
      </c>
      <c r="E203" s="558" t="s">
        <v>1537</v>
      </c>
      <c r="F203" s="558" t="s">
        <v>1538</v>
      </c>
      <c r="G203" s="558" t="s">
        <v>1539</v>
      </c>
      <c r="H203" s="558" t="s">
        <v>1051</v>
      </c>
      <c r="I203" s="558" t="s">
        <v>1544</v>
      </c>
      <c r="J203" s="558" t="s">
        <v>1075</v>
      </c>
      <c r="K203" s="558" t="s">
        <v>1076</v>
      </c>
      <c r="L203" s="562" t="s">
        <v>1545</v>
      </c>
      <c r="M203" s="558" t="s">
        <v>1546</v>
      </c>
      <c r="N203" s="563" t="s">
        <v>1547</v>
      </c>
      <c r="O203" s="48"/>
      <c r="P203" s="43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</row>
    <row r="204">
      <c r="A204" s="558" t="s">
        <v>1047</v>
      </c>
      <c r="B204" s="559">
        <v>45157.0</v>
      </c>
      <c r="C204" s="560">
        <v>45155.623611111114</v>
      </c>
      <c r="D204" s="561">
        <v>-325.98</v>
      </c>
      <c r="E204" s="558" t="s">
        <v>1537</v>
      </c>
      <c r="F204" s="558" t="s">
        <v>1538</v>
      </c>
      <c r="G204" s="558" t="s">
        <v>1539</v>
      </c>
      <c r="H204" s="558" t="s">
        <v>1051</v>
      </c>
      <c r="I204" s="558" t="s">
        <v>1544</v>
      </c>
      <c r="J204" s="558" t="s">
        <v>1075</v>
      </c>
      <c r="K204" s="558" t="s">
        <v>1076</v>
      </c>
      <c r="L204" s="562" t="s">
        <v>1545</v>
      </c>
      <c r="M204" s="558" t="s">
        <v>1548</v>
      </c>
      <c r="N204" s="563" t="s">
        <v>1549</v>
      </c>
      <c r="O204" s="48"/>
      <c r="P204" s="43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</row>
    <row r="205">
      <c r="A205" s="558" t="s">
        <v>1047</v>
      </c>
      <c r="B205" s="559">
        <v>45140.0</v>
      </c>
      <c r="C205" s="560">
        <v>45139.62986111111</v>
      </c>
      <c r="D205" s="561">
        <v>-199.96</v>
      </c>
      <c r="E205" s="558" t="s">
        <v>1550</v>
      </c>
      <c r="F205" s="558" t="s">
        <v>1551</v>
      </c>
      <c r="G205" s="558" t="s">
        <v>1439</v>
      </c>
      <c r="H205" s="558" t="s">
        <v>1051</v>
      </c>
      <c r="I205" s="558" t="s">
        <v>1552</v>
      </c>
      <c r="J205" s="558" t="s">
        <v>1075</v>
      </c>
      <c r="K205" s="558" t="s">
        <v>1076</v>
      </c>
      <c r="L205" s="562" t="s">
        <v>1553</v>
      </c>
      <c r="M205" s="558" t="s">
        <v>1554</v>
      </c>
      <c r="N205" s="563" t="s">
        <v>1555</v>
      </c>
      <c r="O205" s="48"/>
      <c r="P205" s="43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</row>
    <row r="206">
      <c r="A206" s="558" t="s">
        <v>1556</v>
      </c>
      <c r="B206" s="559">
        <v>45141.0</v>
      </c>
      <c r="C206" s="560">
        <v>45139.74166666667</v>
      </c>
      <c r="D206" s="561">
        <v>-88.26</v>
      </c>
      <c r="E206" s="558" t="s">
        <v>1550</v>
      </c>
      <c r="F206" s="558" t="s">
        <v>1551</v>
      </c>
      <c r="G206" s="558" t="s">
        <v>1439</v>
      </c>
      <c r="H206" s="558" t="s">
        <v>1051</v>
      </c>
      <c r="I206" s="558" t="s">
        <v>1552</v>
      </c>
      <c r="J206" s="558" t="s">
        <v>1075</v>
      </c>
      <c r="K206" s="558" t="s">
        <v>1076</v>
      </c>
      <c r="L206" s="562" t="s">
        <v>1553</v>
      </c>
      <c r="M206" s="558" t="s">
        <v>1557</v>
      </c>
      <c r="N206" s="563" t="s">
        <v>1558</v>
      </c>
      <c r="O206" s="48"/>
      <c r="P206" s="43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</row>
    <row r="207">
      <c r="A207" s="558" t="s">
        <v>1559</v>
      </c>
      <c r="B207" s="559">
        <v>45143.0</v>
      </c>
      <c r="C207" s="560">
        <v>45141.98333333333</v>
      </c>
      <c r="D207" s="561">
        <v>-248.52</v>
      </c>
      <c r="E207" s="558" t="s">
        <v>1550</v>
      </c>
      <c r="F207" s="558" t="s">
        <v>1551</v>
      </c>
      <c r="G207" s="558" t="s">
        <v>1439</v>
      </c>
      <c r="H207" s="558" t="s">
        <v>1051</v>
      </c>
      <c r="I207" s="558" t="s">
        <v>1552</v>
      </c>
      <c r="J207" s="558" t="s">
        <v>1075</v>
      </c>
      <c r="K207" s="558" t="s">
        <v>1076</v>
      </c>
      <c r="L207" s="562" t="s">
        <v>1553</v>
      </c>
      <c r="M207" s="558" t="s">
        <v>1560</v>
      </c>
      <c r="N207" s="563" t="s">
        <v>1561</v>
      </c>
      <c r="O207" s="48"/>
      <c r="P207" s="43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</row>
    <row r="208">
      <c r="A208" s="558" t="s">
        <v>1562</v>
      </c>
      <c r="B208" s="559">
        <v>45143.0</v>
      </c>
      <c r="C208" s="560">
        <v>45142.572222222225</v>
      </c>
      <c r="D208" s="561">
        <v>-70.68</v>
      </c>
      <c r="E208" s="558" t="s">
        <v>1550</v>
      </c>
      <c r="F208" s="558" t="s">
        <v>1551</v>
      </c>
      <c r="G208" s="558" t="s">
        <v>1439</v>
      </c>
      <c r="H208" s="558" t="s">
        <v>1051</v>
      </c>
      <c r="I208" s="558" t="s">
        <v>1552</v>
      </c>
      <c r="J208" s="558" t="s">
        <v>1075</v>
      </c>
      <c r="K208" s="558" t="s">
        <v>1076</v>
      </c>
      <c r="L208" s="562" t="s">
        <v>1553</v>
      </c>
      <c r="M208" s="558" t="s">
        <v>1563</v>
      </c>
      <c r="N208" s="563" t="s">
        <v>1564</v>
      </c>
      <c r="O208" s="48"/>
      <c r="P208" s="43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</row>
    <row r="209">
      <c r="A209" s="558" t="s">
        <v>1565</v>
      </c>
      <c r="B209" s="559">
        <v>45143.0</v>
      </c>
      <c r="C209" s="560">
        <v>45142.61319444444</v>
      </c>
      <c r="D209" s="561">
        <v>-44.99</v>
      </c>
      <c r="E209" s="558" t="s">
        <v>1550</v>
      </c>
      <c r="F209" s="558" t="s">
        <v>1551</v>
      </c>
      <c r="G209" s="558" t="s">
        <v>1439</v>
      </c>
      <c r="H209" s="558" t="s">
        <v>1051</v>
      </c>
      <c r="I209" s="558" t="s">
        <v>1552</v>
      </c>
      <c r="J209" s="558" t="s">
        <v>1075</v>
      </c>
      <c r="K209" s="558" t="s">
        <v>1076</v>
      </c>
      <c r="L209" s="562" t="s">
        <v>1553</v>
      </c>
      <c r="M209" s="558" t="s">
        <v>1566</v>
      </c>
      <c r="N209" s="563" t="s">
        <v>1567</v>
      </c>
      <c r="O209" s="48"/>
      <c r="P209" s="43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</row>
    <row r="210">
      <c r="A210" s="558" t="s">
        <v>1568</v>
      </c>
      <c r="B210" s="559">
        <v>45143.0</v>
      </c>
      <c r="C210" s="560">
        <v>45142.62569444445</v>
      </c>
      <c r="D210" s="561">
        <v>-79.12</v>
      </c>
      <c r="E210" s="558" t="s">
        <v>1550</v>
      </c>
      <c r="F210" s="558" t="s">
        <v>1551</v>
      </c>
      <c r="G210" s="558" t="s">
        <v>1439</v>
      </c>
      <c r="H210" s="558" t="s">
        <v>1051</v>
      </c>
      <c r="I210" s="558" t="s">
        <v>1552</v>
      </c>
      <c r="J210" s="558" t="s">
        <v>1075</v>
      </c>
      <c r="K210" s="558" t="s">
        <v>1076</v>
      </c>
      <c r="L210" s="562" t="s">
        <v>1553</v>
      </c>
      <c r="M210" s="558" t="s">
        <v>1569</v>
      </c>
      <c r="N210" s="563" t="s">
        <v>1570</v>
      </c>
      <c r="O210" s="48"/>
      <c r="P210" s="43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</row>
    <row r="211">
      <c r="A211" s="558" t="s">
        <v>1571</v>
      </c>
      <c r="B211" s="559">
        <v>45149.0</v>
      </c>
      <c r="C211" s="560">
        <v>45147.77916666667</v>
      </c>
      <c r="D211" s="561">
        <v>-23.64</v>
      </c>
      <c r="E211" s="558" t="s">
        <v>1550</v>
      </c>
      <c r="F211" s="558" t="s">
        <v>1551</v>
      </c>
      <c r="G211" s="558" t="s">
        <v>1439</v>
      </c>
      <c r="H211" s="558" t="s">
        <v>1051</v>
      </c>
      <c r="I211" s="558" t="s">
        <v>1552</v>
      </c>
      <c r="J211" s="558" t="s">
        <v>1075</v>
      </c>
      <c r="K211" s="558" t="s">
        <v>1076</v>
      </c>
      <c r="L211" s="562" t="s">
        <v>1572</v>
      </c>
      <c r="M211" s="558" t="s">
        <v>1573</v>
      </c>
      <c r="N211" s="563" t="s">
        <v>1574</v>
      </c>
      <c r="O211" s="48"/>
      <c r="P211" s="43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</row>
    <row r="212">
      <c r="A212" s="558" t="s">
        <v>1575</v>
      </c>
      <c r="B212" s="559">
        <v>45158.0</v>
      </c>
      <c r="C212" s="560">
        <v>45158.902083333334</v>
      </c>
      <c r="D212" s="561">
        <v>3.25</v>
      </c>
      <c r="E212" s="558" t="s">
        <v>1550</v>
      </c>
      <c r="F212" s="558" t="s">
        <v>1551</v>
      </c>
      <c r="G212" s="558" t="s">
        <v>1439</v>
      </c>
      <c r="H212" s="558" t="s">
        <v>1051</v>
      </c>
      <c r="I212" s="558" t="s">
        <v>1576</v>
      </c>
      <c r="J212" s="558" t="s">
        <v>1075</v>
      </c>
      <c r="K212" s="558" t="s">
        <v>1076</v>
      </c>
      <c r="L212" s="562" t="s">
        <v>1577</v>
      </c>
      <c r="M212" s="558"/>
      <c r="N212" s="563" t="s">
        <v>1578</v>
      </c>
      <c r="O212" s="48"/>
      <c r="P212" s="43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</row>
    <row r="213">
      <c r="A213" s="558" t="s">
        <v>1474</v>
      </c>
      <c r="B213" s="559">
        <v>45161.0</v>
      </c>
      <c r="C213" s="560">
        <v>45160.575</v>
      </c>
      <c r="D213" s="561">
        <v>-19.8</v>
      </c>
      <c r="E213" s="558" t="s">
        <v>1550</v>
      </c>
      <c r="F213" s="558" t="s">
        <v>1551</v>
      </c>
      <c r="G213" s="558" t="s">
        <v>1439</v>
      </c>
      <c r="H213" s="558" t="s">
        <v>1051</v>
      </c>
      <c r="I213" s="558" t="s">
        <v>1576</v>
      </c>
      <c r="J213" s="558" t="s">
        <v>1075</v>
      </c>
      <c r="K213" s="558" t="s">
        <v>1076</v>
      </c>
      <c r="L213" s="562" t="s">
        <v>1577</v>
      </c>
      <c r="M213" s="558"/>
      <c r="N213" s="563" t="s">
        <v>1579</v>
      </c>
      <c r="O213" s="48"/>
      <c r="P213" s="43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</row>
    <row r="214">
      <c r="A214" s="562" t="s">
        <v>1580</v>
      </c>
      <c r="B214" s="559">
        <v>45162.0</v>
      </c>
      <c r="C214" s="560">
        <v>45161.80902777778</v>
      </c>
      <c r="D214" s="561">
        <v>-179.4</v>
      </c>
      <c r="E214" s="558" t="s">
        <v>1550</v>
      </c>
      <c r="F214" s="558" t="s">
        <v>1551</v>
      </c>
      <c r="G214" s="558" t="s">
        <v>1439</v>
      </c>
      <c r="H214" s="558" t="s">
        <v>1051</v>
      </c>
      <c r="I214" s="558" t="s">
        <v>1552</v>
      </c>
      <c r="J214" s="558" t="s">
        <v>1075</v>
      </c>
      <c r="K214" s="558" t="s">
        <v>1076</v>
      </c>
      <c r="L214" s="562" t="s">
        <v>1581</v>
      </c>
      <c r="M214" s="558" t="s">
        <v>1582</v>
      </c>
      <c r="N214" s="563" t="s">
        <v>1583</v>
      </c>
      <c r="O214" s="48"/>
      <c r="P214" s="43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</row>
    <row r="215">
      <c r="A215" s="558"/>
      <c r="B215" s="559"/>
      <c r="C215" s="560"/>
      <c r="D215" s="561"/>
      <c r="E215" s="558"/>
      <c r="F215" s="558"/>
      <c r="G215" s="558"/>
      <c r="H215" s="558"/>
      <c r="I215" s="558"/>
      <c r="J215" s="558"/>
      <c r="K215" s="558"/>
      <c r="L215" s="558"/>
      <c r="M215" s="558"/>
      <c r="N215" s="558"/>
      <c r="O215" s="48"/>
      <c r="P215" s="43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</row>
    <row r="216">
      <c r="A216" s="558"/>
      <c r="B216" s="559"/>
      <c r="C216" s="560"/>
      <c r="D216" s="561"/>
      <c r="E216" s="558"/>
      <c r="F216" s="558"/>
      <c r="G216" s="558"/>
      <c r="H216" s="558"/>
      <c r="I216" s="558"/>
      <c r="J216" s="558"/>
      <c r="K216" s="558"/>
      <c r="L216" s="558"/>
      <c r="M216" s="558"/>
      <c r="N216" s="558"/>
      <c r="O216" s="48"/>
      <c r="P216" s="43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</row>
    <row r="217">
      <c r="A217" s="48"/>
      <c r="B217" s="48"/>
      <c r="C217" s="43" t="s">
        <v>137</v>
      </c>
      <c r="D217" s="564">
        <f>SUM(D2:D216)</f>
        <v>-47488.8</v>
      </c>
      <c r="F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</row>
    <row r="218">
      <c r="A218" s="48"/>
      <c r="B218" s="48"/>
      <c r="C218" s="48"/>
      <c r="D218" s="565"/>
      <c r="F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</row>
    <row r="219">
      <c r="A219" s="48"/>
      <c r="B219" s="48"/>
      <c r="C219" s="48"/>
      <c r="D219" s="565"/>
      <c r="F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</row>
    <row r="220">
      <c r="A220" s="48"/>
      <c r="B220" s="48"/>
      <c r="C220" s="48"/>
      <c r="D220" s="565"/>
      <c r="F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</row>
    <row r="221">
      <c r="A221" s="48"/>
      <c r="B221" s="48"/>
      <c r="C221" s="48"/>
      <c r="D221" s="565"/>
      <c r="F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</row>
    <row r="222">
      <c r="A222" s="48"/>
      <c r="B222" s="48"/>
      <c r="C222" s="48"/>
      <c r="D222" s="565"/>
      <c r="F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</row>
    <row r="223">
      <c r="A223" s="48"/>
      <c r="B223" s="48"/>
      <c r="C223" s="48"/>
      <c r="D223" s="565"/>
      <c r="F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</row>
    <row r="224">
      <c r="A224" s="48"/>
      <c r="B224" s="48"/>
      <c r="C224" s="48"/>
      <c r="D224" s="565"/>
      <c r="F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</row>
    <row r="225">
      <c r="A225" s="48"/>
      <c r="B225" s="48"/>
      <c r="C225" s="48"/>
      <c r="D225" s="565"/>
      <c r="F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</row>
    <row r="226">
      <c r="A226" s="48"/>
      <c r="B226" s="48"/>
      <c r="C226" s="48"/>
      <c r="D226" s="565"/>
      <c r="F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</row>
    <row r="227">
      <c r="A227" s="48"/>
      <c r="B227" s="48"/>
      <c r="C227" s="48"/>
      <c r="D227" s="565"/>
      <c r="F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</row>
    <row r="228">
      <c r="A228" s="48"/>
      <c r="B228" s="48"/>
      <c r="C228" s="48"/>
      <c r="D228" s="565"/>
      <c r="F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</row>
    <row r="229">
      <c r="A229" s="48"/>
      <c r="B229" s="48"/>
      <c r="C229" s="48"/>
      <c r="D229" s="565"/>
      <c r="F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</row>
    <row r="230">
      <c r="A230" s="48"/>
      <c r="B230" s="48"/>
      <c r="C230" s="48"/>
      <c r="D230" s="565"/>
      <c r="F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</row>
    <row r="231">
      <c r="A231" s="48"/>
      <c r="B231" s="48"/>
      <c r="C231" s="48"/>
      <c r="D231" s="565"/>
      <c r="F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</row>
    <row r="232">
      <c r="A232" s="48"/>
      <c r="B232" s="48"/>
      <c r="C232" s="48"/>
      <c r="D232" s="565"/>
      <c r="F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</row>
    <row r="233">
      <c r="A233" s="48"/>
      <c r="B233" s="48"/>
      <c r="C233" s="48"/>
      <c r="D233" s="565"/>
      <c r="F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</row>
    <row r="234">
      <c r="A234" s="48"/>
      <c r="B234" s="48"/>
      <c r="C234" s="48"/>
      <c r="D234" s="565"/>
      <c r="F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</row>
    <row r="235">
      <c r="A235" s="48"/>
      <c r="B235" s="48"/>
      <c r="C235" s="48"/>
      <c r="D235" s="565"/>
      <c r="F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</row>
    <row r="236">
      <c r="A236" s="48"/>
      <c r="B236" s="48"/>
      <c r="C236" s="48"/>
      <c r="D236" s="565"/>
      <c r="F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</row>
    <row r="237">
      <c r="A237" s="48"/>
      <c r="B237" s="48"/>
      <c r="C237" s="48"/>
      <c r="D237" s="565"/>
      <c r="F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</row>
    <row r="238">
      <c r="A238" s="48"/>
      <c r="B238" s="48"/>
      <c r="C238" s="48"/>
      <c r="D238" s="565"/>
      <c r="F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</row>
    <row r="239">
      <c r="A239" s="48"/>
      <c r="B239" s="48"/>
      <c r="C239" s="48"/>
      <c r="D239" s="565"/>
      <c r="F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</row>
    <row r="240">
      <c r="A240" s="48"/>
      <c r="B240" s="48"/>
      <c r="C240" s="48"/>
      <c r="D240" s="565"/>
      <c r="F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</row>
    <row r="241">
      <c r="A241" s="48"/>
      <c r="B241" s="48"/>
      <c r="C241" s="48"/>
      <c r="D241" s="565"/>
      <c r="F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</row>
    <row r="242">
      <c r="A242" s="48"/>
      <c r="B242" s="48"/>
      <c r="C242" s="48"/>
      <c r="D242" s="565"/>
      <c r="F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</row>
    <row r="243">
      <c r="A243" s="48"/>
      <c r="B243" s="48"/>
      <c r="C243" s="48"/>
      <c r="D243" s="565"/>
      <c r="F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</row>
    <row r="244">
      <c r="A244" s="48"/>
      <c r="B244" s="48"/>
      <c r="C244" s="48"/>
      <c r="D244" s="565"/>
      <c r="F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</row>
    <row r="245">
      <c r="A245" s="48"/>
      <c r="B245" s="48"/>
      <c r="C245" s="48"/>
      <c r="D245" s="565"/>
      <c r="F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</row>
    <row r="246">
      <c r="A246" s="48"/>
      <c r="B246" s="48"/>
      <c r="C246" s="48"/>
      <c r="D246" s="565"/>
      <c r="F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</row>
    <row r="247">
      <c r="A247" s="48"/>
      <c r="B247" s="48"/>
      <c r="C247" s="48"/>
      <c r="D247" s="565"/>
      <c r="F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</row>
    <row r="248">
      <c r="A248" s="48"/>
      <c r="B248" s="48"/>
      <c r="C248" s="48"/>
      <c r="D248" s="565"/>
      <c r="F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</row>
    <row r="249">
      <c r="A249" s="48"/>
      <c r="B249" s="48"/>
      <c r="C249" s="48"/>
      <c r="D249" s="565"/>
      <c r="F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</row>
    <row r="250">
      <c r="A250" s="48"/>
      <c r="B250" s="48"/>
      <c r="C250" s="48"/>
      <c r="D250" s="565"/>
      <c r="F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</row>
    <row r="251">
      <c r="A251" s="48"/>
      <c r="B251" s="48"/>
      <c r="C251" s="48"/>
      <c r="D251" s="565"/>
      <c r="F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</row>
    <row r="252">
      <c r="A252" s="48"/>
      <c r="B252" s="48"/>
      <c r="C252" s="48"/>
      <c r="D252" s="565"/>
      <c r="F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</row>
    <row r="253">
      <c r="A253" s="48"/>
      <c r="B253" s="48"/>
      <c r="C253" s="48"/>
      <c r="D253" s="565"/>
      <c r="F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</row>
    <row r="254">
      <c r="A254" s="48"/>
      <c r="B254" s="48"/>
      <c r="C254" s="48"/>
      <c r="D254" s="565"/>
      <c r="F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</row>
    <row r="255">
      <c r="A255" s="48"/>
      <c r="B255" s="48"/>
      <c r="C255" s="48"/>
      <c r="D255" s="565"/>
      <c r="F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</row>
    <row r="256">
      <c r="A256" s="48"/>
      <c r="B256" s="48"/>
      <c r="C256" s="48"/>
      <c r="D256" s="565"/>
      <c r="F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</row>
    <row r="257">
      <c r="A257" s="48"/>
      <c r="B257" s="48"/>
      <c r="C257" s="48"/>
      <c r="D257" s="565"/>
      <c r="F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</row>
    <row r="258">
      <c r="A258" s="48"/>
      <c r="B258" s="48"/>
      <c r="C258" s="48"/>
      <c r="D258" s="565"/>
      <c r="F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</row>
    <row r="259">
      <c r="A259" s="48"/>
      <c r="B259" s="48"/>
      <c r="C259" s="48"/>
      <c r="D259" s="565"/>
      <c r="F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</row>
    <row r="260">
      <c r="A260" s="48"/>
      <c r="B260" s="48"/>
      <c r="C260" s="48"/>
      <c r="D260" s="565"/>
      <c r="F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</row>
    <row r="261">
      <c r="A261" s="48"/>
      <c r="B261" s="48"/>
      <c r="C261" s="48"/>
      <c r="D261" s="565"/>
      <c r="F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</row>
    <row r="262">
      <c r="A262" s="48"/>
      <c r="B262" s="48"/>
      <c r="C262" s="48"/>
      <c r="D262" s="565"/>
      <c r="F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</row>
    <row r="263">
      <c r="A263" s="48"/>
      <c r="B263" s="48"/>
      <c r="C263" s="48"/>
      <c r="D263" s="565"/>
      <c r="F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</row>
    <row r="264">
      <c r="A264" s="48"/>
      <c r="B264" s="48"/>
      <c r="C264" s="48"/>
      <c r="D264" s="565"/>
      <c r="F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</row>
    <row r="265">
      <c r="A265" s="48"/>
      <c r="B265" s="48"/>
      <c r="C265" s="48"/>
      <c r="D265" s="565"/>
      <c r="F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</row>
    <row r="266">
      <c r="A266" s="48"/>
      <c r="B266" s="48"/>
      <c r="C266" s="48"/>
      <c r="D266" s="565"/>
      <c r="F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</row>
    <row r="267">
      <c r="A267" s="48"/>
      <c r="B267" s="48"/>
      <c r="C267" s="48"/>
      <c r="D267" s="565"/>
      <c r="F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</row>
    <row r="268">
      <c r="A268" s="48"/>
      <c r="B268" s="48"/>
      <c r="C268" s="48"/>
      <c r="D268" s="565"/>
      <c r="F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</row>
    <row r="269">
      <c r="A269" s="48"/>
      <c r="B269" s="48"/>
      <c r="C269" s="48"/>
      <c r="D269" s="565"/>
      <c r="F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</row>
    <row r="270">
      <c r="A270" s="48"/>
      <c r="B270" s="48"/>
      <c r="C270" s="48"/>
      <c r="D270" s="565"/>
      <c r="F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</row>
    <row r="271">
      <c r="A271" s="48"/>
      <c r="B271" s="48"/>
      <c r="C271" s="48"/>
      <c r="D271" s="565"/>
      <c r="F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</row>
    <row r="272">
      <c r="A272" s="48"/>
      <c r="B272" s="48"/>
      <c r="C272" s="48"/>
      <c r="D272" s="565"/>
      <c r="F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</row>
    <row r="273">
      <c r="A273" s="48"/>
      <c r="B273" s="48"/>
      <c r="C273" s="48"/>
      <c r="D273" s="565"/>
      <c r="F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</row>
    <row r="274">
      <c r="A274" s="48"/>
      <c r="B274" s="48"/>
      <c r="C274" s="48"/>
      <c r="D274" s="565"/>
      <c r="F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</row>
    <row r="275">
      <c r="A275" s="48"/>
      <c r="B275" s="48"/>
      <c r="C275" s="48"/>
      <c r="D275" s="565"/>
      <c r="F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</row>
    <row r="276">
      <c r="A276" s="48"/>
      <c r="B276" s="48"/>
      <c r="C276" s="48"/>
      <c r="D276" s="565"/>
      <c r="F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</row>
    <row r="277">
      <c r="A277" s="48"/>
      <c r="B277" s="48"/>
      <c r="C277" s="48"/>
      <c r="D277" s="565"/>
      <c r="F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</row>
    <row r="278">
      <c r="A278" s="48"/>
      <c r="B278" s="48"/>
      <c r="C278" s="48"/>
      <c r="D278" s="565"/>
      <c r="F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</row>
    <row r="279">
      <c r="A279" s="48"/>
      <c r="B279" s="48"/>
      <c r="C279" s="48"/>
      <c r="D279" s="565"/>
      <c r="F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</row>
    <row r="280">
      <c r="A280" s="48"/>
      <c r="B280" s="48"/>
      <c r="C280" s="48"/>
      <c r="D280" s="565"/>
      <c r="F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</row>
    <row r="281">
      <c r="A281" s="48"/>
      <c r="B281" s="48"/>
      <c r="C281" s="48"/>
      <c r="D281" s="565"/>
      <c r="F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</row>
    <row r="282">
      <c r="A282" s="48"/>
      <c r="B282" s="48"/>
      <c r="C282" s="48"/>
      <c r="D282" s="565"/>
      <c r="F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</row>
    <row r="283">
      <c r="A283" s="48"/>
      <c r="B283" s="48"/>
      <c r="C283" s="48"/>
      <c r="D283" s="565"/>
      <c r="F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</row>
    <row r="284">
      <c r="A284" s="48"/>
      <c r="B284" s="48"/>
      <c r="C284" s="48"/>
      <c r="D284" s="565"/>
      <c r="F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</row>
    <row r="285">
      <c r="A285" s="48"/>
      <c r="B285" s="48"/>
      <c r="C285" s="48"/>
      <c r="D285" s="565"/>
      <c r="F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</row>
    <row r="286">
      <c r="A286" s="48"/>
      <c r="B286" s="48"/>
      <c r="C286" s="48"/>
      <c r="D286" s="565"/>
      <c r="F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</row>
    <row r="287">
      <c r="A287" s="48"/>
      <c r="B287" s="48"/>
      <c r="C287" s="48"/>
      <c r="D287" s="565"/>
      <c r="F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</row>
    <row r="288">
      <c r="A288" s="48"/>
      <c r="B288" s="48"/>
      <c r="C288" s="48"/>
      <c r="D288" s="565"/>
      <c r="F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</row>
    <row r="289">
      <c r="A289" s="48"/>
      <c r="B289" s="48"/>
      <c r="C289" s="48"/>
      <c r="D289" s="565"/>
      <c r="F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</row>
    <row r="290">
      <c r="A290" s="48"/>
      <c r="B290" s="48"/>
      <c r="C290" s="48"/>
      <c r="D290" s="565"/>
      <c r="F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</row>
    <row r="291">
      <c r="A291" s="48"/>
      <c r="B291" s="48"/>
      <c r="C291" s="48"/>
      <c r="D291" s="565"/>
      <c r="F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</row>
    <row r="292">
      <c r="A292" s="48"/>
      <c r="B292" s="48"/>
      <c r="C292" s="48"/>
      <c r="D292" s="565"/>
      <c r="F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</row>
    <row r="293">
      <c r="A293" s="48"/>
      <c r="B293" s="48"/>
      <c r="C293" s="48"/>
      <c r="D293" s="565"/>
      <c r="F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</row>
    <row r="294">
      <c r="A294" s="48"/>
      <c r="B294" s="48"/>
      <c r="C294" s="48"/>
      <c r="D294" s="565"/>
      <c r="F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</row>
    <row r="295">
      <c r="A295" s="48"/>
      <c r="B295" s="48"/>
      <c r="C295" s="48"/>
      <c r="D295" s="565"/>
      <c r="F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</row>
    <row r="296">
      <c r="A296" s="48"/>
      <c r="B296" s="48"/>
      <c r="C296" s="48"/>
      <c r="D296" s="565"/>
      <c r="F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</row>
    <row r="297">
      <c r="A297" s="48"/>
      <c r="B297" s="48"/>
      <c r="C297" s="48"/>
      <c r="D297" s="565"/>
      <c r="F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</row>
    <row r="298">
      <c r="A298" s="48"/>
      <c r="B298" s="48"/>
      <c r="C298" s="48"/>
      <c r="D298" s="565"/>
      <c r="F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</row>
    <row r="299">
      <c r="A299" s="48"/>
      <c r="B299" s="48"/>
      <c r="C299" s="48"/>
      <c r="D299" s="565"/>
      <c r="F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</row>
    <row r="300">
      <c r="A300" s="48"/>
      <c r="B300" s="48"/>
      <c r="C300" s="48"/>
      <c r="D300" s="565"/>
      <c r="F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</row>
    <row r="301">
      <c r="A301" s="48"/>
      <c r="B301" s="48"/>
      <c r="C301" s="48"/>
      <c r="D301" s="565"/>
      <c r="F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</row>
    <row r="302">
      <c r="A302" s="48"/>
      <c r="B302" s="48"/>
      <c r="C302" s="48"/>
      <c r="D302" s="565"/>
      <c r="F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</row>
    <row r="303">
      <c r="A303" s="48"/>
      <c r="B303" s="48"/>
      <c r="C303" s="48"/>
      <c r="D303" s="565"/>
      <c r="F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</row>
    <row r="304">
      <c r="A304" s="48"/>
      <c r="B304" s="48"/>
      <c r="C304" s="48"/>
      <c r="D304" s="565"/>
      <c r="F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</row>
    <row r="305">
      <c r="A305" s="48"/>
      <c r="B305" s="48"/>
      <c r="C305" s="48"/>
      <c r="D305" s="565"/>
      <c r="F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</row>
    <row r="306">
      <c r="A306" s="48"/>
      <c r="B306" s="48"/>
      <c r="C306" s="48"/>
      <c r="D306" s="565"/>
      <c r="F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</row>
    <row r="307">
      <c r="A307" s="48"/>
      <c r="B307" s="48"/>
      <c r="C307" s="48"/>
      <c r="D307" s="565"/>
      <c r="F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</row>
    <row r="308">
      <c r="A308" s="48"/>
      <c r="B308" s="48"/>
      <c r="C308" s="48"/>
      <c r="D308" s="565"/>
      <c r="F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</row>
    <row r="309">
      <c r="A309" s="48"/>
      <c r="B309" s="48"/>
      <c r="C309" s="48"/>
      <c r="D309" s="565"/>
      <c r="F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</row>
    <row r="310">
      <c r="A310" s="48"/>
      <c r="B310" s="48"/>
      <c r="C310" s="48"/>
      <c r="D310" s="565"/>
      <c r="F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</row>
    <row r="311">
      <c r="A311" s="48"/>
      <c r="B311" s="48"/>
      <c r="C311" s="48"/>
      <c r="D311" s="565"/>
      <c r="F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</row>
    <row r="312">
      <c r="A312" s="48"/>
      <c r="B312" s="48"/>
      <c r="C312" s="48"/>
      <c r="D312" s="565"/>
      <c r="F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</row>
    <row r="313">
      <c r="A313" s="48"/>
      <c r="B313" s="48"/>
      <c r="C313" s="48"/>
      <c r="D313" s="565"/>
      <c r="F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</row>
    <row r="314">
      <c r="A314" s="48"/>
      <c r="B314" s="48"/>
      <c r="C314" s="48"/>
      <c r="D314" s="565"/>
      <c r="F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</row>
    <row r="315">
      <c r="A315" s="48"/>
      <c r="B315" s="48"/>
      <c r="C315" s="48"/>
      <c r="D315" s="565"/>
      <c r="F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</row>
    <row r="316">
      <c r="A316" s="48"/>
      <c r="B316" s="48"/>
      <c r="C316" s="48"/>
      <c r="D316" s="565"/>
      <c r="F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</row>
    <row r="317">
      <c r="A317" s="48"/>
      <c r="B317" s="48"/>
      <c r="C317" s="48"/>
      <c r="D317" s="565"/>
      <c r="F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</row>
    <row r="318">
      <c r="A318" s="48"/>
      <c r="B318" s="48"/>
      <c r="C318" s="48"/>
      <c r="D318" s="565"/>
      <c r="F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</row>
    <row r="319">
      <c r="A319" s="48"/>
      <c r="B319" s="48"/>
      <c r="C319" s="48"/>
      <c r="D319" s="565"/>
      <c r="F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</row>
    <row r="320">
      <c r="A320" s="48"/>
      <c r="B320" s="48"/>
      <c r="C320" s="48"/>
      <c r="D320" s="565"/>
      <c r="F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</row>
    <row r="321">
      <c r="A321" s="48"/>
      <c r="B321" s="48"/>
      <c r="C321" s="48"/>
      <c r="D321" s="565"/>
      <c r="F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</row>
    <row r="322">
      <c r="A322" s="48"/>
      <c r="B322" s="48"/>
      <c r="C322" s="48"/>
      <c r="D322" s="565"/>
      <c r="F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</row>
    <row r="323">
      <c r="A323" s="48"/>
      <c r="B323" s="48"/>
      <c r="C323" s="48"/>
      <c r="D323" s="565"/>
      <c r="F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</row>
    <row r="324">
      <c r="A324" s="48"/>
      <c r="B324" s="48"/>
      <c r="C324" s="48"/>
      <c r="D324" s="565"/>
      <c r="F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</row>
    <row r="325">
      <c r="A325" s="48"/>
      <c r="B325" s="48"/>
      <c r="C325" s="48"/>
      <c r="D325" s="565"/>
      <c r="F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</row>
    <row r="326">
      <c r="A326" s="48"/>
      <c r="B326" s="48"/>
      <c r="C326" s="48"/>
      <c r="D326" s="565"/>
      <c r="F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</row>
    <row r="327">
      <c r="A327" s="48"/>
      <c r="B327" s="48"/>
      <c r="C327" s="48"/>
      <c r="D327" s="565"/>
      <c r="F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</row>
    <row r="328">
      <c r="A328" s="48"/>
      <c r="B328" s="48"/>
      <c r="C328" s="48"/>
      <c r="D328" s="565"/>
      <c r="F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</row>
    <row r="329">
      <c r="A329" s="48"/>
      <c r="B329" s="48"/>
      <c r="C329" s="48"/>
      <c r="D329" s="565"/>
      <c r="F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</row>
    <row r="330">
      <c r="A330" s="48"/>
      <c r="B330" s="48"/>
      <c r="C330" s="48"/>
      <c r="D330" s="565"/>
      <c r="F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</row>
    <row r="331">
      <c r="A331" s="48"/>
      <c r="B331" s="48"/>
      <c r="C331" s="48"/>
      <c r="D331" s="565"/>
      <c r="F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</row>
    <row r="332">
      <c r="A332" s="48"/>
      <c r="B332" s="48"/>
      <c r="C332" s="48"/>
      <c r="D332" s="565"/>
      <c r="F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</row>
    <row r="333">
      <c r="A333" s="48"/>
      <c r="B333" s="48"/>
      <c r="C333" s="48"/>
      <c r="D333" s="565"/>
      <c r="F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</row>
    <row r="334">
      <c r="A334" s="48"/>
      <c r="B334" s="48"/>
      <c r="C334" s="48"/>
      <c r="D334" s="565"/>
      <c r="F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</row>
    <row r="335">
      <c r="A335" s="48"/>
      <c r="B335" s="48"/>
      <c r="C335" s="48"/>
      <c r="D335" s="565"/>
      <c r="F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</row>
    <row r="336">
      <c r="A336" s="48"/>
      <c r="B336" s="48"/>
      <c r="C336" s="48"/>
      <c r="D336" s="565"/>
      <c r="F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</row>
    <row r="337">
      <c r="A337" s="48"/>
      <c r="B337" s="48"/>
      <c r="C337" s="48"/>
      <c r="D337" s="565"/>
      <c r="F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</row>
    <row r="338">
      <c r="A338" s="48"/>
      <c r="B338" s="48"/>
      <c r="C338" s="48"/>
      <c r="D338" s="565"/>
      <c r="F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</row>
    <row r="339">
      <c r="A339" s="48"/>
      <c r="B339" s="48"/>
      <c r="C339" s="48"/>
      <c r="D339" s="565"/>
      <c r="F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</row>
    <row r="340">
      <c r="A340" s="48"/>
      <c r="B340" s="48"/>
      <c r="C340" s="48"/>
      <c r="D340" s="565"/>
      <c r="F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</row>
    <row r="341">
      <c r="A341" s="48"/>
      <c r="B341" s="48"/>
      <c r="C341" s="48"/>
      <c r="D341" s="565"/>
      <c r="F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</row>
    <row r="342">
      <c r="A342" s="48"/>
      <c r="B342" s="48"/>
      <c r="C342" s="48"/>
      <c r="D342" s="565"/>
      <c r="F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</row>
    <row r="343">
      <c r="A343" s="48"/>
      <c r="B343" s="48"/>
      <c r="C343" s="48"/>
      <c r="D343" s="565"/>
      <c r="F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</row>
    <row r="344">
      <c r="A344" s="48"/>
      <c r="B344" s="48"/>
      <c r="C344" s="48"/>
      <c r="D344" s="565"/>
      <c r="F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</row>
    <row r="345">
      <c r="A345" s="48"/>
      <c r="B345" s="48"/>
      <c r="C345" s="48"/>
      <c r="D345" s="565"/>
      <c r="F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</row>
    <row r="346">
      <c r="A346" s="48"/>
      <c r="B346" s="48"/>
      <c r="C346" s="48"/>
      <c r="D346" s="565"/>
      <c r="F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</row>
    <row r="347">
      <c r="A347" s="48"/>
      <c r="B347" s="48"/>
      <c r="C347" s="48"/>
      <c r="D347" s="565"/>
      <c r="F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</row>
    <row r="348">
      <c r="A348" s="48"/>
      <c r="B348" s="48"/>
      <c r="C348" s="48"/>
      <c r="D348" s="565"/>
      <c r="F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</row>
    <row r="349">
      <c r="A349" s="48"/>
      <c r="B349" s="48"/>
      <c r="C349" s="48"/>
      <c r="D349" s="565"/>
      <c r="F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</row>
    <row r="350">
      <c r="A350" s="48"/>
      <c r="B350" s="48"/>
      <c r="C350" s="48"/>
      <c r="D350" s="565"/>
      <c r="F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</row>
    <row r="351">
      <c r="A351" s="48"/>
      <c r="B351" s="48"/>
      <c r="C351" s="48"/>
      <c r="D351" s="565"/>
      <c r="F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</row>
    <row r="352">
      <c r="A352" s="48"/>
      <c r="B352" s="48"/>
      <c r="C352" s="48"/>
      <c r="D352" s="565"/>
      <c r="F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</row>
    <row r="353">
      <c r="A353" s="48"/>
      <c r="B353" s="48"/>
      <c r="C353" s="48"/>
      <c r="D353" s="565"/>
      <c r="F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</row>
    <row r="354">
      <c r="A354" s="48"/>
      <c r="B354" s="48"/>
      <c r="C354" s="48"/>
      <c r="D354" s="565"/>
      <c r="F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</row>
    <row r="355">
      <c r="A355" s="48"/>
      <c r="B355" s="48"/>
      <c r="C355" s="48"/>
      <c r="D355" s="565"/>
      <c r="F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</row>
    <row r="356">
      <c r="A356" s="48"/>
      <c r="B356" s="48"/>
      <c r="C356" s="48"/>
      <c r="D356" s="565"/>
      <c r="F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</row>
    <row r="357">
      <c r="A357" s="48"/>
      <c r="B357" s="48"/>
      <c r="C357" s="48"/>
      <c r="D357" s="565"/>
      <c r="F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</row>
    <row r="358">
      <c r="A358" s="48"/>
      <c r="B358" s="48"/>
      <c r="C358" s="48"/>
      <c r="D358" s="565"/>
      <c r="F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</row>
    <row r="359">
      <c r="A359" s="48"/>
      <c r="B359" s="48"/>
      <c r="C359" s="48"/>
      <c r="D359" s="565"/>
      <c r="F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</row>
    <row r="360">
      <c r="A360" s="48"/>
      <c r="B360" s="48"/>
      <c r="C360" s="48"/>
      <c r="D360" s="565"/>
      <c r="F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</row>
    <row r="361">
      <c r="A361" s="48"/>
      <c r="B361" s="48"/>
      <c r="C361" s="48"/>
      <c r="D361" s="565"/>
      <c r="F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</row>
    <row r="362">
      <c r="A362" s="48"/>
      <c r="B362" s="48"/>
      <c r="C362" s="48"/>
      <c r="D362" s="565"/>
      <c r="F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</row>
    <row r="363">
      <c r="A363" s="48"/>
      <c r="B363" s="48"/>
      <c r="C363" s="48"/>
      <c r="D363" s="565"/>
      <c r="F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</row>
    <row r="364">
      <c r="A364" s="48"/>
      <c r="B364" s="48"/>
      <c r="C364" s="48"/>
      <c r="D364" s="565"/>
      <c r="F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</row>
    <row r="365">
      <c r="A365" s="48"/>
      <c r="B365" s="48"/>
      <c r="C365" s="48"/>
      <c r="D365" s="565"/>
      <c r="F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</row>
    <row r="366">
      <c r="A366" s="48"/>
      <c r="B366" s="48"/>
      <c r="C366" s="48"/>
      <c r="D366" s="565"/>
      <c r="F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</row>
    <row r="367">
      <c r="A367" s="48"/>
      <c r="B367" s="48"/>
      <c r="C367" s="48"/>
      <c r="D367" s="565"/>
      <c r="F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</row>
    <row r="368">
      <c r="A368" s="48"/>
      <c r="B368" s="48"/>
      <c r="C368" s="48"/>
      <c r="D368" s="565"/>
      <c r="F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</row>
    <row r="369">
      <c r="A369" s="48"/>
      <c r="B369" s="48"/>
      <c r="C369" s="48"/>
      <c r="D369" s="565"/>
      <c r="F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</row>
    <row r="370">
      <c r="A370" s="48"/>
      <c r="B370" s="48"/>
      <c r="C370" s="48"/>
      <c r="D370" s="565"/>
      <c r="F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</row>
    <row r="371">
      <c r="A371" s="48"/>
      <c r="B371" s="48"/>
      <c r="C371" s="48"/>
      <c r="D371" s="565"/>
      <c r="F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</row>
    <row r="372">
      <c r="A372" s="48"/>
      <c r="B372" s="48"/>
      <c r="C372" s="48"/>
      <c r="D372" s="565"/>
      <c r="F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</row>
    <row r="373">
      <c r="A373" s="48"/>
      <c r="B373" s="48"/>
      <c r="C373" s="48"/>
      <c r="D373" s="565"/>
      <c r="F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</row>
    <row r="374">
      <c r="A374" s="48"/>
      <c r="B374" s="48"/>
      <c r="C374" s="48"/>
      <c r="D374" s="565"/>
      <c r="F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</row>
    <row r="375">
      <c r="A375" s="48"/>
      <c r="B375" s="48"/>
      <c r="C375" s="48"/>
      <c r="D375" s="565"/>
      <c r="F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</row>
    <row r="376">
      <c r="A376" s="48"/>
      <c r="B376" s="48"/>
      <c r="C376" s="48"/>
      <c r="D376" s="565"/>
      <c r="F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</row>
    <row r="377">
      <c r="A377" s="48"/>
      <c r="B377" s="48"/>
      <c r="C377" s="48"/>
      <c r="D377" s="565"/>
      <c r="F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</row>
    <row r="378">
      <c r="A378" s="48"/>
      <c r="B378" s="48"/>
      <c r="C378" s="48"/>
      <c r="D378" s="565"/>
      <c r="F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</row>
    <row r="379">
      <c r="A379" s="48"/>
      <c r="B379" s="48"/>
      <c r="C379" s="48"/>
      <c r="D379" s="565"/>
      <c r="F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</row>
    <row r="380">
      <c r="A380" s="48"/>
      <c r="B380" s="48"/>
      <c r="C380" s="48"/>
      <c r="D380" s="565"/>
      <c r="F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</row>
    <row r="381">
      <c r="A381" s="48"/>
      <c r="B381" s="48"/>
      <c r="C381" s="48"/>
      <c r="D381" s="565"/>
      <c r="F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</row>
    <row r="382">
      <c r="A382" s="48"/>
      <c r="B382" s="48"/>
      <c r="C382" s="48"/>
      <c r="D382" s="565"/>
      <c r="F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</row>
    <row r="383">
      <c r="A383" s="48"/>
      <c r="B383" s="48"/>
      <c r="C383" s="48"/>
      <c r="D383" s="565"/>
      <c r="F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</row>
    <row r="384">
      <c r="A384" s="48"/>
      <c r="B384" s="48"/>
      <c r="C384" s="48"/>
      <c r="D384" s="565"/>
      <c r="F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</row>
    <row r="385">
      <c r="A385" s="48"/>
      <c r="B385" s="48"/>
      <c r="C385" s="48"/>
      <c r="D385" s="565"/>
      <c r="F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</row>
    <row r="386">
      <c r="A386" s="48"/>
      <c r="B386" s="48"/>
      <c r="C386" s="48"/>
      <c r="D386" s="565"/>
      <c r="F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</row>
    <row r="387">
      <c r="A387" s="48"/>
      <c r="B387" s="48"/>
      <c r="C387" s="48"/>
      <c r="D387" s="565"/>
      <c r="F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</row>
    <row r="388">
      <c r="A388" s="48"/>
      <c r="B388" s="48"/>
      <c r="C388" s="48"/>
      <c r="D388" s="565"/>
      <c r="F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</row>
    <row r="389">
      <c r="A389" s="48"/>
      <c r="B389" s="48"/>
      <c r="C389" s="48"/>
      <c r="D389" s="565"/>
      <c r="F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</row>
    <row r="390">
      <c r="A390" s="48"/>
      <c r="B390" s="48"/>
      <c r="C390" s="48"/>
      <c r="D390" s="565"/>
      <c r="F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</row>
    <row r="391">
      <c r="A391" s="48"/>
      <c r="B391" s="48"/>
      <c r="C391" s="48"/>
      <c r="D391" s="565"/>
      <c r="F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</row>
    <row r="392">
      <c r="A392" s="48"/>
      <c r="B392" s="48"/>
      <c r="C392" s="48"/>
      <c r="D392" s="565"/>
      <c r="F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</row>
    <row r="393">
      <c r="A393" s="48"/>
      <c r="B393" s="48"/>
      <c r="C393" s="48"/>
      <c r="D393" s="565"/>
      <c r="F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</row>
    <row r="394">
      <c r="A394" s="48"/>
      <c r="B394" s="48"/>
      <c r="C394" s="48"/>
      <c r="D394" s="565"/>
      <c r="F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</row>
    <row r="395">
      <c r="A395" s="48"/>
      <c r="B395" s="48"/>
      <c r="C395" s="48"/>
      <c r="D395" s="565"/>
      <c r="F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</row>
    <row r="396">
      <c r="A396" s="48"/>
      <c r="B396" s="48"/>
      <c r="C396" s="48"/>
      <c r="D396" s="565"/>
      <c r="F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</row>
    <row r="397">
      <c r="A397" s="48"/>
      <c r="B397" s="48"/>
      <c r="C397" s="48"/>
      <c r="D397" s="565"/>
      <c r="F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</row>
    <row r="398">
      <c r="A398" s="48"/>
      <c r="B398" s="48"/>
      <c r="C398" s="48"/>
      <c r="D398" s="565"/>
      <c r="F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</row>
    <row r="399">
      <c r="A399" s="48"/>
      <c r="B399" s="48"/>
      <c r="C399" s="48"/>
      <c r="D399" s="565"/>
      <c r="F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</row>
    <row r="400">
      <c r="A400" s="48"/>
      <c r="B400" s="48"/>
      <c r="C400" s="48"/>
      <c r="D400" s="565"/>
      <c r="F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</row>
    <row r="401">
      <c r="A401" s="48"/>
      <c r="B401" s="48"/>
      <c r="C401" s="48"/>
      <c r="D401" s="565"/>
      <c r="F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</row>
    <row r="402">
      <c r="A402" s="48"/>
      <c r="B402" s="48"/>
      <c r="C402" s="48"/>
      <c r="D402" s="565"/>
      <c r="F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</row>
    <row r="403">
      <c r="A403" s="48"/>
      <c r="B403" s="48"/>
      <c r="C403" s="48"/>
      <c r="D403" s="565"/>
      <c r="F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</row>
    <row r="404">
      <c r="A404" s="48"/>
      <c r="B404" s="48"/>
      <c r="C404" s="48"/>
      <c r="D404" s="565"/>
      <c r="F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</row>
    <row r="405">
      <c r="A405" s="48"/>
      <c r="B405" s="48"/>
      <c r="C405" s="48"/>
      <c r="D405" s="565"/>
      <c r="F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</row>
    <row r="406">
      <c r="A406" s="48"/>
      <c r="B406" s="48"/>
      <c r="C406" s="48"/>
      <c r="D406" s="565"/>
      <c r="F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</row>
    <row r="407">
      <c r="A407" s="48"/>
      <c r="B407" s="48"/>
      <c r="C407" s="48"/>
      <c r="D407" s="565"/>
      <c r="F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</row>
    <row r="408">
      <c r="A408" s="48"/>
      <c r="B408" s="48"/>
      <c r="C408" s="48"/>
      <c r="D408" s="565"/>
      <c r="F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</row>
    <row r="409">
      <c r="A409" s="48"/>
      <c r="B409" s="48"/>
      <c r="C409" s="48"/>
      <c r="D409" s="565"/>
      <c r="F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</row>
    <row r="410">
      <c r="A410" s="48"/>
      <c r="B410" s="48"/>
      <c r="C410" s="48"/>
      <c r="D410" s="565"/>
      <c r="F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</row>
    <row r="411">
      <c r="A411" s="48"/>
      <c r="B411" s="48"/>
      <c r="C411" s="48"/>
      <c r="D411" s="565"/>
      <c r="F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</row>
    <row r="412">
      <c r="A412" s="48"/>
      <c r="B412" s="48"/>
      <c r="C412" s="48"/>
      <c r="D412" s="565"/>
      <c r="F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</row>
    <row r="413">
      <c r="A413" s="48"/>
      <c r="B413" s="48"/>
      <c r="C413" s="48"/>
      <c r="D413" s="565"/>
      <c r="F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</row>
    <row r="414">
      <c r="A414" s="48"/>
      <c r="B414" s="48"/>
      <c r="C414" s="48"/>
      <c r="D414" s="565"/>
      <c r="F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</row>
    <row r="415">
      <c r="A415" s="48"/>
      <c r="B415" s="48"/>
      <c r="C415" s="48"/>
      <c r="D415" s="565"/>
      <c r="F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</row>
    <row r="416">
      <c r="A416" s="48"/>
      <c r="B416" s="48"/>
      <c r="C416" s="48"/>
      <c r="D416" s="565"/>
      <c r="F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</row>
    <row r="417">
      <c r="A417" s="48"/>
      <c r="B417" s="48"/>
      <c r="C417" s="48"/>
      <c r="D417" s="565"/>
      <c r="F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</row>
    <row r="418">
      <c r="A418" s="48"/>
      <c r="B418" s="48"/>
      <c r="C418" s="48"/>
      <c r="D418" s="565"/>
      <c r="F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</row>
    <row r="419">
      <c r="A419" s="48"/>
      <c r="B419" s="48"/>
      <c r="C419" s="48"/>
      <c r="D419" s="565"/>
      <c r="F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</row>
    <row r="420">
      <c r="A420" s="48"/>
      <c r="B420" s="48"/>
      <c r="C420" s="48"/>
      <c r="D420" s="565"/>
      <c r="F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</row>
    <row r="421">
      <c r="A421" s="48"/>
      <c r="B421" s="48"/>
      <c r="C421" s="48"/>
      <c r="D421" s="565"/>
      <c r="F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</row>
    <row r="422">
      <c r="A422" s="48"/>
      <c r="B422" s="48"/>
      <c r="C422" s="48"/>
      <c r="D422" s="565"/>
      <c r="F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</row>
    <row r="423">
      <c r="A423" s="48"/>
      <c r="B423" s="48"/>
      <c r="C423" s="48"/>
      <c r="D423" s="565"/>
      <c r="F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</row>
    <row r="424">
      <c r="A424" s="48"/>
      <c r="B424" s="48"/>
      <c r="C424" s="48"/>
      <c r="D424" s="565"/>
      <c r="F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</row>
    <row r="425">
      <c r="A425" s="48"/>
      <c r="B425" s="48"/>
      <c r="C425" s="48"/>
      <c r="D425" s="565"/>
      <c r="F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</row>
    <row r="426">
      <c r="A426" s="48"/>
      <c r="B426" s="48"/>
      <c r="C426" s="48"/>
      <c r="D426" s="565"/>
      <c r="F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</row>
    <row r="427">
      <c r="A427" s="48"/>
      <c r="B427" s="48"/>
      <c r="C427" s="48"/>
      <c r="D427" s="565"/>
      <c r="F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</row>
    <row r="428">
      <c r="A428" s="48"/>
      <c r="B428" s="48"/>
      <c r="C428" s="48"/>
      <c r="D428" s="565"/>
      <c r="F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</row>
    <row r="429">
      <c r="A429" s="48"/>
      <c r="B429" s="48"/>
      <c r="C429" s="48"/>
      <c r="D429" s="565"/>
      <c r="F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</row>
    <row r="430">
      <c r="A430" s="48"/>
      <c r="B430" s="48"/>
      <c r="C430" s="48"/>
      <c r="D430" s="565"/>
      <c r="F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</row>
    <row r="431">
      <c r="A431" s="48"/>
      <c r="B431" s="48"/>
      <c r="C431" s="48"/>
      <c r="D431" s="565"/>
      <c r="F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</row>
    <row r="432">
      <c r="A432" s="48"/>
      <c r="B432" s="48"/>
      <c r="C432" s="48"/>
      <c r="D432" s="565"/>
      <c r="F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</row>
    <row r="433">
      <c r="A433" s="48"/>
      <c r="B433" s="48"/>
      <c r="C433" s="48"/>
      <c r="D433" s="565"/>
      <c r="F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</row>
    <row r="434">
      <c r="A434" s="48"/>
      <c r="B434" s="48"/>
      <c r="C434" s="48"/>
      <c r="D434" s="565"/>
      <c r="F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</row>
    <row r="435">
      <c r="A435" s="48"/>
      <c r="B435" s="48"/>
      <c r="C435" s="48"/>
      <c r="D435" s="565"/>
      <c r="F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</row>
    <row r="436">
      <c r="A436" s="48"/>
      <c r="B436" s="48"/>
      <c r="C436" s="48"/>
      <c r="D436" s="565"/>
      <c r="F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</row>
    <row r="437">
      <c r="A437" s="48"/>
      <c r="B437" s="48"/>
      <c r="C437" s="48"/>
      <c r="D437" s="565"/>
      <c r="F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</row>
    <row r="438">
      <c r="A438" s="48"/>
      <c r="B438" s="48"/>
      <c r="C438" s="48"/>
      <c r="D438" s="565"/>
      <c r="F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</row>
    <row r="439">
      <c r="A439" s="48"/>
      <c r="B439" s="48"/>
      <c r="C439" s="48"/>
      <c r="D439" s="565"/>
      <c r="F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</row>
    <row r="440">
      <c r="A440" s="48"/>
      <c r="B440" s="48"/>
      <c r="C440" s="48"/>
      <c r="D440" s="565"/>
      <c r="F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</row>
    <row r="441">
      <c r="A441" s="48"/>
      <c r="B441" s="48"/>
      <c r="C441" s="48"/>
      <c r="D441" s="565"/>
      <c r="F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</row>
    <row r="442">
      <c r="A442" s="48"/>
      <c r="B442" s="48"/>
      <c r="C442" s="48"/>
      <c r="D442" s="565"/>
      <c r="F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</row>
    <row r="443">
      <c r="A443" s="48"/>
      <c r="B443" s="48"/>
      <c r="C443" s="48"/>
      <c r="D443" s="565"/>
      <c r="F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</row>
    <row r="444">
      <c r="A444" s="48"/>
      <c r="B444" s="48"/>
      <c r="C444" s="48"/>
      <c r="D444" s="565"/>
      <c r="F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</row>
    <row r="445">
      <c r="A445" s="48"/>
      <c r="B445" s="48"/>
      <c r="C445" s="48"/>
      <c r="D445" s="565"/>
      <c r="F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</row>
    <row r="446">
      <c r="A446" s="48"/>
      <c r="B446" s="48"/>
      <c r="C446" s="48"/>
      <c r="D446" s="565"/>
      <c r="F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</row>
    <row r="447">
      <c r="A447" s="48"/>
      <c r="B447" s="48"/>
      <c r="C447" s="48"/>
      <c r="D447" s="565"/>
      <c r="F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</row>
    <row r="448">
      <c r="A448" s="48"/>
      <c r="B448" s="48"/>
      <c r="C448" s="48"/>
      <c r="D448" s="565"/>
      <c r="F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</row>
    <row r="449">
      <c r="A449" s="48"/>
      <c r="B449" s="48"/>
      <c r="C449" s="48"/>
      <c r="D449" s="565"/>
      <c r="F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</row>
    <row r="450">
      <c r="A450" s="48"/>
      <c r="B450" s="48"/>
      <c r="C450" s="48"/>
      <c r="D450" s="565"/>
      <c r="F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</row>
    <row r="451">
      <c r="A451" s="48"/>
      <c r="B451" s="48"/>
      <c r="C451" s="48"/>
      <c r="D451" s="565"/>
      <c r="F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</row>
    <row r="452">
      <c r="A452" s="48"/>
      <c r="B452" s="48"/>
      <c r="C452" s="48"/>
      <c r="D452" s="565"/>
      <c r="F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</row>
    <row r="453">
      <c r="A453" s="48"/>
      <c r="B453" s="48"/>
      <c r="C453" s="48"/>
      <c r="D453" s="565"/>
      <c r="F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</row>
    <row r="454">
      <c r="A454" s="48"/>
      <c r="B454" s="48"/>
      <c r="C454" s="48"/>
      <c r="D454" s="565"/>
      <c r="F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</row>
    <row r="455">
      <c r="A455" s="48"/>
      <c r="B455" s="48"/>
      <c r="C455" s="48"/>
      <c r="D455" s="565"/>
      <c r="F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</row>
    <row r="456">
      <c r="A456" s="48"/>
      <c r="B456" s="48"/>
      <c r="C456" s="48"/>
      <c r="D456" s="565"/>
      <c r="F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</row>
    <row r="457">
      <c r="A457" s="48"/>
      <c r="B457" s="48"/>
      <c r="C457" s="48"/>
      <c r="D457" s="565"/>
      <c r="F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</row>
    <row r="458">
      <c r="A458" s="48"/>
      <c r="B458" s="48"/>
      <c r="C458" s="48"/>
      <c r="D458" s="565"/>
      <c r="F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</row>
    <row r="459">
      <c r="A459" s="48"/>
      <c r="B459" s="48"/>
      <c r="C459" s="48"/>
      <c r="D459" s="565"/>
      <c r="F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</row>
    <row r="460">
      <c r="A460" s="48"/>
      <c r="B460" s="48"/>
      <c r="C460" s="48"/>
      <c r="D460" s="565"/>
      <c r="F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</row>
    <row r="461">
      <c r="A461" s="48"/>
      <c r="B461" s="48"/>
      <c r="C461" s="48"/>
      <c r="D461" s="565"/>
      <c r="F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</row>
    <row r="462">
      <c r="A462" s="48"/>
      <c r="B462" s="48"/>
      <c r="C462" s="48"/>
      <c r="D462" s="565"/>
      <c r="F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</row>
    <row r="463">
      <c r="A463" s="48"/>
      <c r="B463" s="48"/>
      <c r="C463" s="48"/>
      <c r="D463" s="565"/>
      <c r="F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</row>
    <row r="464">
      <c r="A464" s="48"/>
      <c r="B464" s="48"/>
      <c r="C464" s="48"/>
      <c r="D464" s="565"/>
      <c r="F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</row>
    <row r="465">
      <c r="A465" s="48"/>
      <c r="B465" s="48"/>
      <c r="C465" s="48"/>
      <c r="D465" s="565"/>
      <c r="F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</row>
    <row r="466">
      <c r="A466" s="48"/>
      <c r="B466" s="48"/>
      <c r="C466" s="48"/>
      <c r="D466" s="565"/>
      <c r="F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</row>
    <row r="467">
      <c r="A467" s="48"/>
      <c r="B467" s="48"/>
      <c r="C467" s="48"/>
      <c r="D467" s="565"/>
      <c r="F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</row>
    <row r="468">
      <c r="A468" s="48"/>
      <c r="B468" s="48"/>
      <c r="C468" s="48"/>
      <c r="D468" s="565"/>
      <c r="F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</row>
    <row r="469">
      <c r="A469" s="48"/>
      <c r="B469" s="48"/>
      <c r="C469" s="48"/>
      <c r="D469" s="565"/>
      <c r="F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</row>
    <row r="470">
      <c r="A470" s="48"/>
      <c r="B470" s="48"/>
      <c r="C470" s="48"/>
      <c r="D470" s="565"/>
      <c r="F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</row>
    <row r="471">
      <c r="A471" s="48"/>
      <c r="B471" s="48"/>
      <c r="C471" s="48"/>
      <c r="D471" s="565"/>
      <c r="F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</row>
    <row r="472">
      <c r="A472" s="48"/>
      <c r="B472" s="48"/>
      <c r="C472" s="48"/>
      <c r="D472" s="565"/>
      <c r="F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</row>
    <row r="473">
      <c r="A473" s="48"/>
      <c r="B473" s="48"/>
      <c r="C473" s="48"/>
      <c r="D473" s="565"/>
      <c r="F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</row>
    <row r="474">
      <c r="A474" s="48"/>
      <c r="B474" s="48"/>
      <c r="C474" s="48"/>
      <c r="D474" s="565"/>
      <c r="F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</row>
    <row r="475">
      <c r="A475" s="48"/>
      <c r="B475" s="48"/>
      <c r="C475" s="48"/>
      <c r="D475" s="565"/>
      <c r="F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</row>
    <row r="476">
      <c r="A476" s="48"/>
      <c r="B476" s="48"/>
      <c r="C476" s="48"/>
      <c r="D476" s="565"/>
      <c r="F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</row>
    <row r="477">
      <c r="A477" s="48"/>
      <c r="B477" s="48"/>
      <c r="C477" s="48"/>
      <c r="D477" s="565"/>
      <c r="F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</row>
    <row r="478">
      <c r="A478" s="48"/>
      <c r="B478" s="48"/>
      <c r="C478" s="48"/>
      <c r="D478" s="565"/>
      <c r="F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</row>
    <row r="479">
      <c r="A479" s="48"/>
      <c r="B479" s="48"/>
      <c r="C479" s="48"/>
      <c r="D479" s="565"/>
      <c r="F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</row>
    <row r="480">
      <c r="A480" s="48"/>
      <c r="B480" s="48"/>
      <c r="C480" s="48"/>
      <c r="D480" s="565"/>
      <c r="F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</row>
    <row r="481">
      <c r="A481" s="48"/>
      <c r="B481" s="48"/>
      <c r="C481" s="48"/>
      <c r="D481" s="565"/>
      <c r="F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</row>
    <row r="482">
      <c r="A482" s="48"/>
      <c r="B482" s="48"/>
      <c r="C482" s="48"/>
      <c r="D482" s="565"/>
      <c r="F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</row>
    <row r="483">
      <c r="A483" s="48"/>
      <c r="B483" s="48"/>
      <c r="C483" s="48"/>
      <c r="D483" s="565"/>
      <c r="F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</row>
    <row r="484">
      <c r="A484" s="48"/>
      <c r="B484" s="48"/>
      <c r="C484" s="48"/>
      <c r="D484" s="565"/>
      <c r="F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</row>
    <row r="485">
      <c r="A485" s="48"/>
      <c r="B485" s="48"/>
      <c r="C485" s="48"/>
      <c r="D485" s="565"/>
      <c r="F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</row>
    <row r="486">
      <c r="A486" s="48"/>
      <c r="B486" s="48"/>
      <c r="C486" s="48"/>
      <c r="D486" s="565"/>
      <c r="F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</row>
    <row r="487">
      <c r="A487" s="48"/>
      <c r="B487" s="48"/>
      <c r="C487" s="48"/>
      <c r="D487" s="565"/>
      <c r="F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</row>
    <row r="488">
      <c r="A488" s="48"/>
      <c r="B488" s="48"/>
      <c r="C488" s="48"/>
      <c r="D488" s="565"/>
      <c r="F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</row>
    <row r="489">
      <c r="A489" s="48"/>
      <c r="B489" s="48"/>
      <c r="C489" s="48"/>
      <c r="D489" s="565"/>
      <c r="F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</row>
    <row r="490">
      <c r="A490" s="48"/>
      <c r="B490" s="48"/>
      <c r="C490" s="48"/>
      <c r="D490" s="565"/>
      <c r="F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</row>
    <row r="491">
      <c r="A491" s="48"/>
      <c r="B491" s="48"/>
      <c r="C491" s="48"/>
      <c r="D491" s="565"/>
      <c r="F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</row>
    <row r="492">
      <c r="A492" s="48"/>
      <c r="B492" s="48"/>
      <c r="C492" s="48"/>
      <c r="D492" s="565"/>
      <c r="F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</row>
    <row r="493">
      <c r="A493" s="48"/>
      <c r="B493" s="48"/>
      <c r="C493" s="48"/>
      <c r="D493" s="565"/>
      <c r="F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</row>
    <row r="494">
      <c r="A494" s="48"/>
      <c r="B494" s="48"/>
      <c r="C494" s="48"/>
      <c r="D494" s="565"/>
      <c r="F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</row>
    <row r="495">
      <c r="A495" s="48"/>
      <c r="B495" s="48"/>
      <c r="C495" s="48"/>
      <c r="D495" s="565"/>
      <c r="F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</row>
    <row r="496">
      <c r="A496" s="48"/>
      <c r="B496" s="48"/>
      <c r="C496" s="48"/>
      <c r="D496" s="565"/>
      <c r="F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</row>
    <row r="497">
      <c r="A497" s="48"/>
      <c r="B497" s="48"/>
      <c r="C497" s="48"/>
      <c r="D497" s="565"/>
      <c r="F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</row>
    <row r="498">
      <c r="A498" s="48"/>
      <c r="B498" s="48"/>
      <c r="C498" s="48"/>
      <c r="D498" s="565"/>
      <c r="F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</row>
    <row r="499">
      <c r="A499" s="48"/>
      <c r="B499" s="48"/>
      <c r="C499" s="48"/>
      <c r="D499" s="565"/>
      <c r="F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</row>
    <row r="500">
      <c r="A500" s="48"/>
      <c r="B500" s="48"/>
      <c r="C500" s="48"/>
      <c r="D500" s="565"/>
      <c r="F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</row>
    <row r="501">
      <c r="A501" s="48"/>
      <c r="B501" s="48"/>
      <c r="C501" s="48"/>
      <c r="D501" s="565"/>
      <c r="F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</row>
    <row r="502">
      <c r="A502" s="48"/>
      <c r="B502" s="48"/>
      <c r="C502" s="48"/>
      <c r="D502" s="565"/>
      <c r="F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</row>
    <row r="503">
      <c r="A503" s="48"/>
      <c r="B503" s="48"/>
      <c r="C503" s="48"/>
      <c r="D503" s="565"/>
      <c r="F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</row>
    <row r="504">
      <c r="A504" s="48"/>
      <c r="B504" s="48"/>
      <c r="C504" s="48"/>
      <c r="D504" s="565"/>
      <c r="F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</row>
    <row r="505">
      <c r="A505" s="48"/>
      <c r="B505" s="48"/>
      <c r="C505" s="48"/>
      <c r="D505" s="565"/>
      <c r="F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</row>
    <row r="506">
      <c r="A506" s="48"/>
      <c r="B506" s="48"/>
      <c r="C506" s="48"/>
      <c r="D506" s="565"/>
      <c r="F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</row>
    <row r="507">
      <c r="A507" s="48"/>
      <c r="B507" s="48"/>
      <c r="C507" s="48"/>
      <c r="D507" s="565"/>
      <c r="F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</row>
    <row r="508">
      <c r="A508" s="48"/>
      <c r="B508" s="48"/>
      <c r="C508" s="48"/>
      <c r="D508" s="565"/>
      <c r="F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</row>
    <row r="509">
      <c r="A509" s="48"/>
      <c r="B509" s="48"/>
      <c r="C509" s="48"/>
      <c r="D509" s="565"/>
      <c r="F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</row>
    <row r="510">
      <c r="A510" s="48"/>
      <c r="B510" s="48"/>
      <c r="C510" s="48"/>
      <c r="D510" s="565"/>
      <c r="F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</row>
    <row r="511">
      <c r="A511" s="48"/>
      <c r="B511" s="48"/>
      <c r="C511" s="48"/>
      <c r="D511" s="565"/>
      <c r="F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</row>
    <row r="512">
      <c r="A512" s="48"/>
      <c r="B512" s="48"/>
      <c r="C512" s="48"/>
      <c r="D512" s="565"/>
      <c r="F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</row>
    <row r="513">
      <c r="A513" s="48"/>
      <c r="B513" s="48"/>
      <c r="C513" s="48"/>
      <c r="D513" s="565"/>
      <c r="F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</row>
    <row r="514">
      <c r="A514" s="48"/>
      <c r="B514" s="48"/>
      <c r="C514" s="48"/>
      <c r="D514" s="565"/>
      <c r="F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</row>
    <row r="515">
      <c r="A515" s="48"/>
      <c r="B515" s="48"/>
      <c r="C515" s="48"/>
      <c r="D515" s="565"/>
      <c r="F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</row>
    <row r="516">
      <c r="A516" s="48"/>
      <c r="B516" s="48"/>
      <c r="C516" s="48"/>
      <c r="D516" s="565"/>
      <c r="F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</row>
    <row r="517">
      <c r="A517" s="48"/>
      <c r="B517" s="48"/>
      <c r="C517" s="48"/>
      <c r="D517" s="565"/>
      <c r="F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</row>
    <row r="518">
      <c r="A518" s="48"/>
      <c r="B518" s="48"/>
      <c r="C518" s="48"/>
      <c r="D518" s="565"/>
      <c r="F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</row>
    <row r="519">
      <c r="A519" s="48"/>
      <c r="B519" s="48"/>
      <c r="C519" s="48"/>
      <c r="D519" s="565"/>
      <c r="F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</row>
    <row r="520">
      <c r="A520" s="48"/>
      <c r="B520" s="48"/>
      <c r="C520" s="48"/>
      <c r="D520" s="565"/>
      <c r="F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</row>
    <row r="521">
      <c r="A521" s="48"/>
      <c r="B521" s="48"/>
      <c r="C521" s="48"/>
      <c r="D521" s="565"/>
      <c r="F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</row>
    <row r="522">
      <c r="A522" s="48"/>
      <c r="B522" s="48"/>
      <c r="C522" s="48"/>
      <c r="D522" s="565"/>
      <c r="F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</row>
    <row r="523">
      <c r="A523" s="48"/>
      <c r="B523" s="48"/>
      <c r="C523" s="48"/>
      <c r="D523" s="565"/>
      <c r="F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</row>
    <row r="524">
      <c r="A524" s="48"/>
      <c r="B524" s="48"/>
      <c r="C524" s="48"/>
      <c r="D524" s="565"/>
      <c r="F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</row>
    <row r="525">
      <c r="A525" s="48"/>
      <c r="B525" s="48"/>
      <c r="C525" s="48"/>
      <c r="D525" s="565"/>
      <c r="F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</row>
    <row r="526">
      <c r="A526" s="48"/>
      <c r="B526" s="48"/>
      <c r="C526" s="48"/>
      <c r="D526" s="565"/>
      <c r="F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</row>
    <row r="527">
      <c r="A527" s="48"/>
      <c r="B527" s="48"/>
      <c r="C527" s="48"/>
      <c r="D527" s="565"/>
      <c r="F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</row>
    <row r="528">
      <c r="A528" s="48"/>
      <c r="B528" s="48"/>
      <c r="C528" s="48"/>
      <c r="D528" s="565"/>
      <c r="F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</row>
    <row r="529">
      <c r="A529" s="48"/>
      <c r="B529" s="48"/>
      <c r="C529" s="48"/>
      <c r="D529" s="565"/>
      <c r="F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</row>
    <row r="530">
      <c r="A530" s="48"/>
      <c r="B530" s="48"/>
      <c r="C530" s="48"/>
      <c r="D530" s="565"/>
      <c r="F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</row>
    <row r="531">
      <c r="A531" s="48"/>
      <c r="B531" s="48"/>
      <c r="C531" s="48"/>
      <c r="D531" s="565"/>
      <c r="F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</row>
    <row r="532">
      <c r="A532" s="48"/>
      <c r="B532" s="48"/>
      <c r="C532" s="48"/>
      <c r="D532" s="565"/>
      <c r="F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</row>
    <row r="533">
      <c r="A533" s="48"/>
      <c r="B533" s="48"/>
      <c r="C533" s="48"/>
      <c r="D533" s="565"/>
      <c r="F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</row>
    <row r="534">
      <c r="A534" s="48"/>
      <c r="B534" s="48"/>
      <c r="C534" s="48"/>
      <c r="D534" s="565"/>
      <c r="F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</row>
    <row r="535">
      <c r="A535" s="48"/>
      <c r="B535" s="48"/>
      <c r="C535" s="48"/>
      <c r="D535" s="565"/>
      <c r="F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</row>
    <row r="536">
      <c r="A536" s="48"/>
      <c r="B536" s="48"/>
      <c r="C536" s="48"/>
      <c r="D536" s="565"/>
      <c r="F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</row>
    <row r="537">
      <c r="A537" s="48"/>
      <c r="B537" s="48"/>
      <c r="C537" s="48"/>
      <c r="D537" s="565"/>
      <c r="F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</row>
    <row r="538">
      <c r="A538" s="48"/>
      <c r="B538" s="48"/>
      <c r="C538" s="48"/>
      <c r="D538" s="565"/>
      <c r="F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</row>
    <row r="539">
      <c r="A539" s="48"/>
      <c r="B539" s="48"/>
      <c r="C539" s="48"/>
      <c r="D539" s="565"/>
      <c r="F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</row>
    <row r="540">
      <c r="A540" s="48"/>
      <c r="B540" s="48"/>
      <c r="C540" s="48"/>
      <c r="D540" s="565"/>
      <c r="F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</row>
    <row r="541">
      <c r="A541" s="48"/>
      <c r="B541" s="48"/>
      <c r="C541" s="48"/>
      <c r="D541" s="565"/>
      <c r="F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</row>
    <row r="542">
      <c r="A542" s="48"/>
      <c r="B542" s="48"/>
      <c r="C542" s="48"/>
      <c r="D542" s="565"/>
      <c r="F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</row>
    <row r="543">
      <c r="A543" s="48"/>
      <c r="B543" s="48"/>
      <c r="C543" s="48"/>
      <c r="D543" s="565"/>
      <c r="F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</row>
    <row r="544">
      <c r="A544" s="48"/>
      <c r="B544" s="48"/>
      <c r="C544" s="48"/>
      <c r="D544" s="565"/>
      <c r="F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</row>
    <row r="545">
      <c r="A545" s="48"/>
      <c r="B545" s="48"/>
      <c r="C545" s="48"/>
      <c r="D545" s="565"/>
      <c r="F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</row>
    <row r="546">
      <c r="A546" s="48"/>
      <c r="B546" s="48"/>
      <c r="C546" s="48"/>
      <c r="D546" s="565"/>
      <c r="F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</row>
    <row r="547">
      <c r="A547" s="48"/>
      <c r="B547" s="48"/>
      <c r="C547" s="48"/>
      <c r="D547" s="565"/>
      <c r="F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</row>
    <row r="548">
      <c r="A548" s="48"/>
      <c r="B548" s="48"/>
      <c r="C548" s="48"/>
      <c r="D548" s="565"/>
      <c r="F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</row>
    <row r="549">
      <c r="A549" s="48"/>
      <c r="B549" s="48"/>
      <c r="C549" s="48"/>
      <c r="D549" s="565"/>
      <c r="F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</row>
    <row r="550">
      <c r="A550" s="48"/>
      <c r="B550" s="48"/>
      <c r="C550" s="48"/>
      <c r="D550" s="565"/>
      <c r="F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</row>
    <row r="551">
      <c r="A551" s="48"/>
      <c r="B551" s="48"/>
      <c r="C551" s="48"/>
      <c r="D551" s="565"/>
      <c r="F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</row>
    <row r="552">
      <c r="A552" s="48"/>
      <c r="B552" s="48"/>
      <c r="C552" s="48"/>
      <c r="D552" s="565"/>
      <c r="F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</row>
    <row r="553">
      <c r="A553" s="48"/>
      <c r="B553" s="48"/>
      <c r="C553" s="48"/>
      <c r="D553" s="565"/>
      <c r="F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</row>
    <row r="554">
      <c r="A554" s="48"/>
      <c r="B554" s="48"/>
      <c r="C554" s="48"/>
      <c r="D554" s="565"/>
      <c r="F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</row>
    <row r="555">
      <c r="A555" s="48"/>
      <c r="B555" s="48"/>
      <c r="C555" s="48"/>
      <c r="D555" s="565"/>
      <c r="F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</row>
    <row r="556">
      <c r="A556" s="48"/>
      <c r="B556" s="48"/>
      <c r="C556" s="48"/>
      <c r="D556" s="565"/>
      <c r="F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</row>
    <row r="557">
      <c r="A557" s="48"/>
      <c r="B557" s="48"/>
      <c r="C557" s="48"/>
      <c r="D557" s="565"/>
      <c r="F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</row>
    <row r="558">
      <c r="A558" s="48"/>
      <c r="B558" s="48"/>
      <c r="C558" s="48"/>
      <c r="D558" s="565"/>
      <c r="F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</row>
    <row r="559">
      <c r="A559" s="48"/>
      <c r="B559" s="48"/>
      <c r="C559" s="48"/>
      <c r="D559" s="565"/>
      <c r="F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</row>
    <row r="560">
      <c r="A560" s="48"/>
      <c r="B560" s="48"/>
      <c r="C560" s="48"/>
      <c r="D560" s="565"/>
      <c r="F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</row>
    <row r="561">
      <c r="A561" s="48"/>
      <c r="B561" s="48"/>
      <c r="C561" s="48"/>
      <c r="D561" s="565"/>
      <c r="F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</row>
    <row r="562">
      <c r="A562" s="48"/>
      <c r="B562" s="48"/>
      <c r="C562" s="48"/>
      <c r="D562" s="565"/>
      <c r="F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</row>
    <row r="563">
      <c r="A563" s="48"/>
      <c r="B563" s="48"/>
      <c r="C563" s="48"/>
      <c r="D563" s="565"/>
      <c r="F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</row>
    <row r="564">
      <c r="A564" s="48"/>
      <c r="B564" s="48"/>
      <c r="C564" s="48"/>
      <c r="D564" s="565"/>
      <c r="F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</row>
    <row r="565">
      <c r="A565" s="48"/>
      <c r="B565" s="48"/>
      <c r="C565" s="48"/>
      <c r="D565" s="565"/>
      <c r="F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</row>
    <row r="566">
      <c r="A566" s="48"/>
      <c r="B566" s="48"/>
      <c r="C566" s="48"/>
      <c r="D566" s="565"/>
      <c r="F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</row>
    <row r="567">
      <c r="A567" s="48"/>
      <c r="B567" s="48"/>
      <c r="C567" s="48"/>
      <c r="D567" s="565"/>
      <c r="F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</row>
    <row r="568">
      <c r="A568" s="48"/>
      <c r="B568" s="48"/>
      <c r="C568" s="48"/>
      <c r="D568" s="565"/>
      <c r="F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</row>
    <row r="569">
      <c r="A569" s="48"/>
      <c r="B569" s="48"/>
      <c r="C569" s="48"/>
      <c r="D569" s="565"/>
      <c r="F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</row>
    <row r="570">
      <c r="A570" s="48"/>
      <c r="B570" s="48"/>
      <c r="C570" s="48"/>
      <c r="D570" s="565"/>
      <c r="F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</row>
    <row r="571">
      <c r="A571" s="48"/>
      <c r="B571" s="48"/>
      <c r="C571" s="48"/>
      <c r="D571" s="565"/>
      <c r="F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</row>
    <row r="572">
      <c r="A572" s="48"/>
      <c r="B572" s="48"/>
      <c r="C572" s="48"/>
      <c r="D572" s="565"/>
      <c r="F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</row>
    <row r="573">
      <c r="A573" s="48"/>
      <c r="B573" s="48"/>
      <c r="C573" s="48"/>
      <c r="D573" s="565"/>
      <c r="F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</row>
    <row r="574">
      <c r="A574" s="48"/>
      <c r="B574" s="48"/>
      <c r="C574" s="48"/>
      <c r="D574" s="565"/>
      <c r="F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</row>
    <row r="575">
      <c r="A575" s="48"/>
      <c r="B575" s="48"/>
      <c r="C575" s="48"/>
      <c r="D575" s="565"/>
      <c r="F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</row>
    <row r="576">
      <c r="A576" s="48"/>
      <c r="B576" s="48"/>
      <c r="C576" s="48"/>
      <c r="D576" s="565"/>
      <c r="F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</row>
    <row r="577">
      <c r="A577" s="48"/>
      <c r="B577" s="48"/>
      <c r="C577" s="48"/>
      <c r="D577" s="565"/>
      <c r="F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</row>
    <row r="578">
      <c r="A578" s="48"/>
      <c r="B578" s="48"/>
      <c r="C578" s="48"/>
      <c r="D578" s="565"/>
      <c r="F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</row>
    <row r="579">
      <c r="A579" s="48"/>
      <c r="B579" s="48"/>
      <c r="C579" s="48"/>
      <c r="D579" s="565"/>
      <c r="F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</row>
    <row r="580">
      <c r="A580" s="48"/>
      <c r="B580" s="48"/>
      <c r="C580" s="48"/>
      <c r="D580" s="565"/>
      <c r="F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</row>
    <row r="581">
      <c r="A581" s="48"/>
      <c r="B581" s="48"/>
      <c r="C581" s="48"/>
      <c r="D581" s="565"/>
      <c r="F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</row>
    <row r="582">
      <c r="A582" s="48"/>
      <c r="B582" s="48"/>
      <c r="C582" s="48"/>
      <c r="D582" s="565"/>
      <c r="F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</row>
    <row r="583">
      <c r="A583" s="48"/>
      <c r="B583" s="48"/>
      <c r="C583" s="48"/>
      <c r="D583" s="565"/>
      <c r="F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</row>
    <row r="584">
      <c r="A584" s="48"/>
      <c r="B584" s="48"/>
      <c r="C584" s="48"/>
      <c r="D584" s="565"/>
      <c r="F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</row>
    <row r="585">
      <c r="A585" s="48"/>
      <c r="B585" s="48"/>
      <c r="C585" s="48"/>
      <c r="D585" s="565"/>
      <c r="F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</row>
    <row r="586">
      <c r="A586" s="48"/>
      <c r="B586" s="48"/>
      <c r="C586" s="48"/>
      <c r="D586" s="565"/>
      <c r="F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</row>
    <row r="587">
      <c r="A587" s="48"/>
      <c r="B587" s="48"/>
      <c r="C587" s="48"/>
      <c r="D587" s="565"/>
      <c r="F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</row>
    <row r="588">
      <c r="A588" s="48"/>
      <c r="B588" s="48"/>
      <c r="C588" s="48"/>
      <c r="D588" s="565"/>
      <c r="F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</row>
    <row r="589">
      <c r="A589" s="48"/>
      <c r="B589" s="48"/>
      <c r="C589" s="48"/>
      <c r="D589" s="565"/>
      <c r="F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</row>
    <row r="590">
      <c r="A590" s="48"/>
      <c r="B590" s="48"/>
      <c r="C590" s="48"/>
      <c r="D590" s="565"/>
      <c r="F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</row>
    <row r="591">
      <c r="A591" s="48"/>
      <c r="B591" s="48"/>
      <c r="C591" s="48"/>
      <c r="D591" s="565"/>
      <c r="F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</row>
    <row r="592">
      <c r="A592" s="48"/>
      <c r="B592" s="48"/>
      <c r="C592" s="48"/>
      <c r="D592" s="565"/>
      <c r="F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</row>
    <row r="593">
      <c r="A593" s="48"/>
      <c r="B593" s="48"/>
      <c r="C593" s="48"/>
      <c r="D593" s="565"/>
      <c r="F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</row>
    <row r="594">
      <c r="A594" s="48"/>
      <c r="B594" s="48"/>
      <c r="C594" s="48"/>
      <c r="D594" s="565"/>
      <c r="F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</row>
    <row r="595">
      <c r="A595" s="48"/>
      <c r="B595" s="48"/>
      <c r="C595" s="48"/>
      <c r="D595" s="565"/>
      <c r="F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</row>
    <row r="596">
      <c r="A596" s="48"/>
      <c r="B596" s="48"/>
      <c r="C596" s="48"/>
      <c r="D596" s="565"/>
      <c r="F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</row>
    <row r="597">
      <c r="A597" s="48"/>
      <c r="B597" s="48"/>
      <c r="C597" s="48"/>
      <c r="D597" s="565"/>
      <c r="F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</row>
    <row r="598">
      <c r="A598" s="48"/>
      <c r="B598" s="48"/>
      <c r="C598" s="48"/>
      <c r="D598" s="565"/>
      <c r="F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</row>
    <row r="599">
      <c r="A599" s="48"/>
      <c r="B599" s="48"/>
      <c r="C599" s="48"/>
      <c r="D599" s="565"/>
      <c r="F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</row>
    <row r="600">
      <c r="A600" s="48"/>
      <c r="B600" s="48"/>
      <c r="C600" s="48"/>
      <c r="D600" s="565"/>
      <c r="F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</row>
    <row r="601">
      <c r="A601" s="48"/>
      <c r="B601" s="48"/>
      <c r="C601" s="48"/>
      <c r="D601" s="565"/>
      <c r="F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</row>
    <row r="602">
      <c r="A602" s="48"/>
      <c r="B602" s="48"/>
      <c r="C602" s="48"/>
      <c r="D602" s="565"/>
      <c r="F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</row>
    <row r="603">
      <c r="A603" s="48"/>
      <c r="B603" s="48"/>
      <c r="C603" s="48"/>
      <c r="D603" s="565"/>
      <c r="F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</row>
    <row r="604">
      <c r="A604" s="48"/>
      <c r="B604" s="48"/>
      <c r="C604" s="48"/>
      <c r="D604" s="565"/>
      <c r="F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</row>
    <row r="605">
      <c r="A605" s="48"/>
      <c r="B605" s="48"/>
      <c r="C605" s="48"/>
      <c r="D605" s="565"/>
      <c r="F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</row>
    <row r="606">
      <c r="A606" s="48"/>
      <c r="B606" s="48"/>
      <c r="C606" s="48"/>
      <c r="D606" s="565"/>
      <c r="F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</row>
    <row r="607">
      <c r="A607" s="48"/>
      <c r="B607" s="48"/>
      <c r="C607" s="48"/>
      <c r="D607" s="565"/>
      <c r="F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</row>
    <row r="608">
      <c r="A608" s="48"/>
      <c r="B608" s="48"/>
      <c r="C608" s="48"/>
      <c r="D608" s="565"/>
      <c r="F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</row>
    <row r="609">
      <c r="A609" s="48"/>
      <c r="B609" s="48"/>
      <c r="C609" s="48"/>
      <c r="D609" s="565"/>
      <c r="F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</row>
    <row r="610">
      <c r="A610" s="48"/>
      <c r="B610" s="48"/>
      <c r="C610" s="48"/>
      <c r="D610" s="565"/>
      <c r="F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</row>
    <row r="611">
      <c r="A611" s="48"/>
      <c r="B611" s="48"/>
      <c r="C611" s="48"/>
      <c r="D611" s="565"/>
      <c r="F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</row>
    <row r="612">
      <c r="A612" s="48"/>
      <c r="B612" s="48"/>
      <c r="C612" s="48"/>
      <c r="D612" s="565"/>
      <c r="F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</row>
    <row r="613">
      <c r="A613" s="48"/>
      <c r="B613" s="48"/>
      <c r="C613" s="48"/>
      <c r="D613" s="565"/>
      <c r="F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</row>
    <row r="614">
      <c r="A614" s="48"/>
      <c r="B614" s="48"/>
      <c r="C614" s="48"/>
      <c r="D614" s="565"/>
      <c r="F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</row>
    <row r="615">
      <c r="A615" s="48"/>
      <c r="B615" s="48"/>
      <c r="C615" s="48"/>
      <c r="D615" s="565"/>
      <c r="F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</row>
    <row r="616">
      <c r="A616" s="48"/>
      <c r="B616" s="48"/>
      <c r="C616" s="48"/>
      <c r="D616" s="565"/>
      <c r="F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</row>
    <row r="617">
      <c r="A617" s="48"/>
      <c r="B617" s="48"/>
      <c r="C617" s="48"/>
      <c r="D617" s="565"/>
      <c r="F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</row>
    <row r="618">
      <c r="A618" s="48"/>
      <c r="B618" s="48"/>
      <c r="C618" s="48"/>
      <c r="D618" s="565"/>
      <c r="F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</row>
    <row r="619">
      <c r="A619" s="48"/>
      <c r="B619" s="48"/>
      <c r="C619" s="48"/>
      <c r="D619" s="565"/>
      <c r="F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</row>
    <row r="620">
      <c r="A620" s="48"/>
      <c r="B620" s="48"/>
      <c r="C620" s="48"/>
      <c r="D620" s="565"/>
      <c r="F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</row>
    <row r="621">
      <c r="A621" s="48"/>
      <c r="B621" s="48"/>
      <c r="C621" s="48"/>
      <c r="D621" s="565"/>
      <c r="F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</row>
    <row r="622">
      <c r="A622" s="48"/>
      <c r="B622" s="48"/>
      <c r="C622" s="48"/>
      <c r="D622" s="565"/>
      <c r="F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</row>
    <row r="623">
      <c r="A623" s="48"/>
      <c r="B623" s="48"/>
      <c r="C623" s="48"/>
      <c r="D623" s="565"/>
      <c r="F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</row>
    <row r="624">
      <c r="A624" s="48"/>
      <c r="B624" s="48"/>
      <c r="C624" s="48"/>
      <c r="D624" s="565"/>
      <c r="F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</row>
    <row r="625">
      <c r="A625" s="48"/>
      <c r="B625" s="48"/>
      <c r="C625" s="48"/>
      <c r="D625" s="565"/>
      <c r="F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</row>
    <row r="626">
      <c r="A626" s="48"/>
      <c r="B626" s="48"/>
      <c r="C626" s="48"/>
      <c r="D626" s="565"/>
      <c r="F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</row>
    <row r="627">
      <c r="A627" s="48"/>
      <c r="B627" s="48"/>
      <c r="C627" s="48"/>
      <c r="D627" s="565"/>
      <c r="F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</row>
    <row r="628">
      <c r="A628" s="48"/>
      <c r="B628" s="48"/>
      <c r="C628" s="48"/>
      <c r="D628" s="565"/>
      <c r="F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</row>
    <row r="629">
      <c r="A629" s="48"/>
      <c r="B629" s="48"/>
      <c r="C629" s="48"/>
      <c r="D629" s="565"/>
      <c r="F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</row>
    <row r="630">
      <c r="A630" s="48"/>
      <c r="B630" s="48"/>
      <c r="C630" s="48"/>
      <c r="D630" s="565"/>
      <c r="F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</row>
    <row r="631">
      <c r="A631" s="48"/>
      <c r="B631" s="48"/>
      <c r="C631" s="48"/>
      <c r="D631" s="565"/>
      <c r="F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</row>
    <row r="632">
      <c r="A632" s="48"/>
      <c r="B632" s="48"/>
      <c r="C632" s="48"/>
      <c r="D632" s="565"/>
      <c r="F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</row>
    <row r="633">
      <c r="A633" s="48"/>
      <c r="B633" s="48"/>
      <c r="C633" s="48"/>
      <c r="D633" s="565"/>
      <c r="F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</row>
    <row r="634">
      <c r="A634" s="48"/>
      <c r="B634" s="48"/>
      <c r="C634" s="48"/>
      <c r="D634" s="565"/>
      <c r="F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</row>
    <row r="635">
      <c r="A635" s="48"/>
      <c r="B635" s="48"/>
      <c r="C635" s="48"/>
      <c r="D635" s="565"/>
      <c r="F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</row>
    <row r="636">
      <c r="A636" s="48"/>
      <c r="B636" s="48"/>
      <c r="C636" s="48"/>
      <c r="D636" s="565"/>
      <c r="F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</row>
    <row r="637">
      <c r="A637" s="48"/>
      <c r="B637" s="48"/>
      <c r="C637" s="48"/>
      <c r="D637" s="565"/>
      <c r="F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</row>
    <row r="638">
      <c r="A638" s="48"/>
      <c r="B638" s="48"/>
      <c r="C638" s="48"/>
      <c r="D638" s="565"/>
      <c r="F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</row>
    <row r="639">
      <c r="A639" s="48"/>
      <c r="B639" s="48"/>
      <c r="C639" s="48"/>
      <c r="D639" s="565"/>
      <c r="F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</row>
    <row r="640">
      <c r="A640" s="48"/>
      <c r="B640" s="48"/>
      <c r="C640" s="48"/>
      <c r="D640" s="565"/>
      <c r="F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</row>
    <row r="641">
      <c r="A641" s="48"/>
      <c r="B641" s="48"/>
      <c r="C641" s="48"/>
      <c r="D641" s="565"/>
      <c r="F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</row>
    <row r="642">
      <c r="A642" s="48"/>
      <c r="B642" s="48"/>
      <c r="C642" s="48"/>
      <c r="D642" s="565"/>
      <c r="F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</row>
    <row r="643">
      <c r="A643" s="48"/>
      <c r="B643" s="48"/>
      <c r="C643" s="48"/>
      <c r="D643" s="565"/>
      <c r="F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</row>
    <row r="644">
      <c r="A644" s="48"/>
      <c r="B644" s="48"/>
      <c r="C644" s="48"/>
      <c r="D644" s="565"/>
      <c r="F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</row>
    <row r="645">
      <c r="A645" s="48"/>
      <c r="B645" s="48"/>
      <c r="C645" s="48"/>
      <c r="D645" s="565"/>
      <c r="F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</row>
    <row r="646">
      <c r="A646" s="48"/>
      <c r="B646" s="48"/>
      <c r="C646" s="48"/>
      <c r="D646" s="565"/>
      <c r="F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</row>
    <row r="647">
      <c r="A647" s="48"/>
      <c r="B647" s="48"/>
      <c r="C647" s="48"/>
      <c r="D647" s="565"/>
      <c r="F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</row>
    <row r="648">
      <c r="A648" s="48"/>
      <c r="B648" s="48"/>
      <c r="C648" s="48"/>
      <c r="D648" s="565"/>
      <c r="F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</row>
    <row r="649">
      <c r="A649" s="48"/>
      <c r="B649" s="48"/>
      <c r="C649" s="48"/>
      <c r="D649" s="565"/>
      <c r="F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</row>
    <row r="650">
      <c r="A650" s="48"/>
      <c r="B650" s="48"/>
      <c r="C650" s="48"/>
      <c r="D650" s="565"/>
      <c r="F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</row>
    <row r="651">
      <c r="A651" s="48"/>
      <c r="B651" s="48"/>
      <c r="C651" s="48"/>
      <c r="D651" s="565"/>
      <c r="F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</row>
    <row r="652">
      <c r="A652" s="48"/>
      <c r="B652" s="48"/>
      <c r="C652" s="48"/>
      <c r="D652" s="565"/>
      <c r="F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</row>
    <row r="653">
      <c r="A653" s="48"/>
      <c r="B653" s="48"/>
      <c r="C653" s="48"/>
      <c r="D653" s="565"/>
      <c r="F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</row>
    <row r="654">
      <c r="A654" s="48"/>
      <c r="B654" s="48"/>
      <c r="C654" s="48"/>
      <c r="D654" s="565"/>
      <c r="F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</row>
    <row r="655">
      <c r="A655" s="48"/>
      <c r="B655" s="48"/>
      <c r="C655" s="48"/>
      <c r="D655" s="565"/>
      <c r="F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</row>
    <row r="656">
      <c r="A656" s="48"/>
      <c r="B656" s="48"/>
      <c r="C656" s="48"/>
      <c r="D656" s="565"/>
      <c r="F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</row>
    <row r="657">
      <c r="A657" s="48"/>
      <c r="B657" s="48"/>
      <c r="C657" s="48"/>
      <c r="D657" s="565"/>
      <c r="F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</row>
    <row r="658">
      <c r="A658" s="48"/>
      <c r="B658" s="48"/>
      <c r="C658" s="48"/>
      <c r="D658" s="565"/>
      <c r="F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</row>
    <row r="659">
      <c r="A659" s="48"/>
      <c r="B659" s="48"/>
      <c r="C659" s="48"/>
      <c r="D659" s="565"/>
      <c r="F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</row>
    <row r="660">
      <c r="A660" s="48"/>
      <c r="B660" s="48"/>
      <c r="C660" s="48"/>
      <c r="D660" s="565"/>
      <c r="F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</row>
    <row r="661">
      <c r="A661" s="48"/>
      <c r="B661" s="48"/>
      <c r="C661" s="48"/>
      <c r="D661" s="565"/>
      <c r="F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</row>
    <row r="662">
      <c r="A662" s="48"/>
      <c r="B662" s="48"/>
      <c r="C662" s="48"/>
      <c r="D662" s="565"/>
      <c r="F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</row>
    <row r="663">
      <c r="A663" s="48"/>
      <c r="B663" s="48"/>
      <c r="C663" s="48"/>
      <c r="D663" s="565"/>
      <c r="F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</row>
    <row r="664">
      <c r="A664" s="48"/>
      <c r="B664" s="48"/>
      <c r="C664" s="48"/>
      <c r="D664" s="565"/>
      <c r="F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</row>
    <row r="665">
      <c r="A665" s="48"/>
      <c r="B665" s="48"/>
      <c r="C665" s="48"/>
      <c r="D665" s="565"/>
      <c r="F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</row>
    <row r="666">
      <c r="A666" s="48"/>
      <c r="B666" s="48"/>
      <c r="C666" s="48"/>
      <c r="D666" s="565"/>
      <c r="F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</row>
    <row r="667">
      <c r="A667" s="48"/>
      <c r="B667" s="48"/>
      <c r="C667" s="48"/>
      <c r="D667" s="565"/>
      <c r="F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</row>
    <row r="668">
      <c r="A668" s="48"/>
      <c r="B668" s="48"/>
      <c r="C668" s="48"/>
      <c r="D668" s="565"/>
      <c r="F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</row>
    <row r="669">
      <c r="A669" s="48"/>
      <c r="B669" s="48"/>
      <c r="C669" s="48"/>
      <c r="D669" s="565"/>
      <c r="F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</row>
    <row r="670">
      <c r="A670" s="48"/>
      <c r="B670" s="48"/>
      <c r="C670" s="48"/>
      <c r="D670" s="565"/>
      <c r="F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</row>
    <row r="671">
      <c r="A671" s="48"/>
      <c r="B671" s="48"/>
      <c r="C671" s="48"/>
      <c r="D671" s="565"/>
      <c r="F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</row>
    <row r="672">
      <c r="A672" s="48"/>
      <c r="B672" s="48"/>
      <c r="C672" s="48"/>
      <c r="D672" s="565"/>
      <c r="F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</row>
    <row r="673">
      <c r="A673" s="48"/>
      <c r="B673" s="48"/>
      <c r="C673" s="48"/>
      <c r="D673" s="565"/>
      <c r="F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</row>
    <row r="674">
      <c r="A674" s="48"/>
      <c r="B674" s="48"/>
      <c r="C674" s="48"/>
      <c r="D674" s="565"/>
      <c r="F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</row>
    <row r="675">
      <c r="A675" s="48"/>
      <c r="B675" s="48"/>
      <c r="C675" s="48"/>
      <c r="D675" s="565"/>
      <c r="F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</row>
    <row r="676">
      <c r="A676" s="48"/>
      <c r="B676" s="48"/>
      <c r="C676" s="48"/>
      <c r="D676" s="565"/>
      <c r="F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</row>
    <row r="677">
      <c r="A677" s="48"/>
      <c r="B677" s="48"/>
      <c r="C677" s="48"/>
      <c r="D677" s="565"/>
      <c r="F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</row>
    <row r="678">
      <c r="A678" s="48"/>
      <c r="B678" s="48"/>
      <c r="C678" s="48"/>
      <c r="D678" s="565"/>
      <c r="F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</row>
    <row r="679">
      <c r="A679" s="48"/>
      <c r="B679" s="48"/>
      <c r="C679" s="48"/>
      <c r="D679" s="565"/>
      <c r="F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</row>
    <row r="680">
      <c r="A680" s="48"/>
      <c r="B680" s="48"/>
      <c r="C680" s="48"/>
      <c r="D680" s="565"/>
      <c r="F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</row>
    <row r="681">
      <c r="A681" s="48"/>
      <c r="B681" s="48"/>
      <c r="C681" s="48"/>
      <c r="D681" s="565"/>
      <c r="F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</row>
    <row r="682">
      <c r="A682" s="48"/>
      <c r="B682" s="48"/>
      <c r="C682" s="48"/>
      <c r="D682" s="565"/>
      <c r="F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</row>
    <row r="683">
      <c r="A683" s="48"/>
      <c r="B683" s="48"/>
      <c r="C683" s="48"/>
      <c r="D683" s="565"/>
      <c r="F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</row>
    <row r="684">
      <c r="A684" s="48"/>
      <c r="B684" s="48"/>
      <c r="C684" s="48"/>
      <c r="D684" s="565"/>
      <c r="F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</row>
    <row r="685">
      <c r="A685" s="48"/>
      <c r="B685" s="48"/>
      <c r="C685" s="48"/>
      <c r="D685" s="565"/>
      <c r="F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</row>
    <row r="686">
      <c r="A686" s="48"/>
      <c r="B686" s="48"/>
      <c r="C686" s="48"/>
      <c r="D686" s="565"/>
      <c r="F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</row>
    <row r="687">
      <c r="A687" s="48"/>
      <c r="B687" s="48"/>
      <c r="C687" s="48"/>
      <c r="D687" s="565"/>
      <c r="F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</row>
    <row r="688">
      <c r="A688" s="48"/>
      <c r="B688" s="48"/>
      <c r="C688" s="48"/>
      <c r="D688" s="565"/>
      <c r="F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</row>
    <row r="689">
      <c r="A689" s="48"/>
      <c r="B689" s="48"/>
      <c r="C689" s="48"/>
      <c r="D689" s="565"/>
      <c r="F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</row>
    <row r="690">
      <c r="A690" s="48"/>
      <c r="B690" s="48"/>
      <c r="C690" s="48"/>
      <c r="D690" s="565"/>
      <c r="F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</row>
    <row r="691">
      <c r="A691" s="48"/>
      <c r="B691" s="48"/>
      <c r="C691" s="48"/>
      <c r="D691" s="565"/>
      <c r="F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</row>
    <row r="692">
      <c r="A692" s="48"/>
      <c r="B692" s="48"/>
      <c r="C692" s="48"/>
      <c r="D692" s="565"/>
      <c r="F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</row>
    <row r="693">
      <c r="A693" s="48"/>
      <c r="B693" s="48"/>
      <c r="C693" s="48"/>
      <c r="D693" s="565"/>
      <c r="F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</row>
    <row r="694">
      <c r="A694" s="48"/>
      <c r="B694" s="48"/>
      <c r="C694" s="48"/>
      <c r="D694" s="565"/>
      <c r="F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</row>
    <row r="695">
      <c r="A695" s="48"/>
      <c r="B695" s="48"/>
      <c r="C695" s="48"/>
      <c r="D695" s="565"/>
      <c r="F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</row>
    <row r="696">
      <c r="A696" s="48"/>
      <c r="B696" s="48"/>
      <c r="C696" s="48"/>
      <c r="D696" s="565"/>
      <c r="F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</row>
    <row r="697">
      <c r="A697" s="48"/>
      <c r="B697" s="48"/>
      <c r="C697" s="48"/>
      <c r="D697" s="565"/>
      <c r="F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</row>
    <row r="698">
      <c r="A698" s="48"/>
      <c r="B698" s="48"/>
      <c r="C698" s="48"/>
      <c r="D698" s="565"/>
      <c r="F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</row>
    <row r="699">
      <c r="A699" s="48"/>
      <c r="B699" s="48"/>
      <c r="C699" s="48"/>
      <c r="D699" s="565"/>
      <c r="F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</row>
    <row r="700">
      <c r="A700" s="48"/>
      <c r="B700" s="48"/>
      <c r="C700" s="48"/>
      <c r="D700" s="565"/>
      <c r="F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</row>
    <row r="701">
      <c r="A701" s="48"/>
      <c r="B701" s="48"/>
      <c r="C701" s="48"/>
      <c r="D701" s="565"/>
      <c r="F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</row>
    <row r="702">
      <c r="A702" s="48"/>
      <c r="B702" s="48"/>
      <c r="C702" s="48"/>
      <c r="D702" s="565"/>
      <c r="F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</row>
    <row r="703">
      <c r="A703" s="48"/>
      <c r="B703" s="48"/>
      <c r="C703" s="48"/>
      <c r="D703" s="565"/>
      <c r="F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</row>
    <row r="704">
      <c r="A704" s="48"/>
      <c r="B704" s="48"/>
      <c r="C704" s="48"/>
      <c r="D704" s="565"/>
      <c r="F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</row>
    <row r="705">
      <c r="A705" s="48"/>
      <c r="B705" s="48"/>
      <c r="C705" s="48"/>
      <c r="D705" s="565"/>
      <c r="F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</row>
    <row r="706">
      <c r="A706" s="48"/>
      <c r="B706" s="48"/>
      <c r="C706" s="48"/>
      <c r="D706" s="565"/>
      <c r="F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</row>
    <row r="707">
      <c r="A707" s="48"/>
      <c r="B707" s="48"/>
      <c r="C707" s="48"/>
      <c r="D707" s="565"/>
      <c r="F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</row>
    <row r="708">
      <c r="A708" s="48"/>
      <c r="B708" s="48"/>
      <c r="C708" s="48"/>
      <c r="D708" s="565"/>
      <c r="F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</row>
    <row r="709">
      <c r="A709" s="48"/>
      <c r="B709" s="48"/>
      <c r="C709" s="48"/>
      <c r="D709" s="565"/>
      <c r="F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</row>
    <row r="710">
      <c r="A710" s="48"/>
      <c r="B710" s="48"/>
      <c r="C710" s="48"/>
      <c r="D710" s="565"/>
      <c r="F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</row>
    <row r="711">
      <c r="A711" s="48"/>
      <c r="B711" s="48"/>
      <c r="C711" s="48"/>
      <c r="D711" s="565"/>
      <c r="F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</row>
    <row r="712">
      <c r="A712" s="48"/>
      <c r="B712" s="48"/>
      <c r="C712" s="48"/>
      <c r="D712" s="565"/>
      <c r="F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</row>
    <row r="713">
      <c r="A713" s="48"/>
      <c r="B713" s="48"/>
      <c r="C713" s="48"/>
      <c r="D713" s="565"/>
      <c r="F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</row>
    <row r="714">
      <c r="A714" s="48"/>
      <c r="B714" s="48"/>
      <c r="C714" s="48"/>
      <c r="D714" s="565"/>
      <c r="F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</row>
    <row r="715">
      <c r="A715" s="48"/>
      <c r="B715" s="48"/>
      <c r="C715" s="48"/>
      <c r="D715" s="565"/>
      <c r="F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</row>
    <row r="716">
      <c r="A716" s="48"/>
      <c r="B716" s="48"/>
      <c r="C716" s="48"/>
      <c r="D716" s="565"/>
      <c r="F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</row>
    <row r="717">
      <c r="A717" s="48"/>
      <c r="B717" s="48"/>
      <c r="C717" s="48"/>
      <c r="D717" s="565"/>
      <c r="F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</row>
    <row r="718">
      <c r="A718" s="48"/>
      <c r="B718" s="48"/>
      <c r="C718" s="48"/>
      <c r="D718" s="565"/>
      <c r="F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</row>
    <row r="719">
      <c r="A719" s="48"/>
      <c r="B719" s="48"/>
      <c r="C719" s="48"/>
      <c r="D719" s="565"/>
      <c r="F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</row>
    <row r="720">
      <c r="A720" s="48"/>
      <c r="B720" s="48"/>
      <c r="C720" s="48"/>
      <c r="D720" s="565"/>
      <c r="F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</row>
    <row r="721">
      <c r="A721" s="48"/>
      <c r="B721" s="48"/>
      <c r="C721" s="48"/>
      <c r="D721" s="565"/>
      <c r="F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</row>
    <row r="722">
      <c r="A722" s="48"/>
      <c r="B722" s="48"/>
      <c r="C722" s="48"/>
      <c r="D722" s="565"/>
      <c r="F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</row>
    <row r="723">
      <c r="A723" s="48"/>
      <c r="B723" s="48"/>
      <c r="C723" s="48"/>
      <c r="D723" s="565"/>
      <c r="F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</row>
    <row r="724">
      <c r="A724" s="48"/>
      <c r="B724" s="48"/>
      <c r="C724" s="48"/>
      <c r="D724" s="565"/>
      <c r="F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</row>
    <row r="725">
      <c r="A725" s="48"/>
      <c r="B725" s="48"/>
      <c r="C725" s="48"/>
      <c r="D725" s="565"/>
      <c r="F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</row>
    <row r="726">
      <c r="A726" s="48"/>
      <c r="B726" s="48"/>
      <c r="C726" s="48"/>
      <c r="D726" s="565"/>
      <c r="F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</row>
    <row r="727">
      <c r="A727" s="48"/>
      <c r="B727" s="48"/>
      <c r="C727" s="48"/>
      <c r="D727" s="565"/>
      <c r="F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</row>
    <row r="728">
      <c r="A728" s="48"/>
      <c r="B728" s="48"/>
      <c r="C728" s="48"/>
      <c r="D728" s="565"/>
      <c r="F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</row>
    <row r="729">
      <c r="A729" s="48"/>
      <c r="B729" s="48"/>
      <c r="C729" s="48"/>
      <c r="D729" s="565"/>
      <c r="F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</row>
  </sheetData>
  <hyperlinks>
    <hyperlink r:id="rId1" ref="L2"/>
    <hyperlink r:id="rId2" ref="L3"/>
    <hyperlink r:id="rId3" ref="L4"/>
    <hyperlink r:id="rId4" ref="L5"/>
    <hyperlink r:id="rId5" ref="L6"/>
    <hyperlink r:id="rId6" ref="L7"/>
    <hyperlink r:id="rId7" ref="L8"/>
    <hyperlink r:id="rId8" ref="L9"/>
    <hyperlink r:id="rId9" ref="L10"/>
    <hyperlink r:id="rId10" ref="L11"/>
    <hyperlink r:id="rId11" ref="L12"/>
    <hyperlink r:id="rId12" ref="L13"/>
    <hyperlink r:id="rId13" ref="L14"/>
    <hyperlink r:id="rId14" ref="L15"/>
    <hyperlink r:id="rId15" ref="L16"/>
    <hyperlink r:id="rId16" ref="L17"/>
    <hyperlink r:id="rId17" ref="L18"/>
    <hyperlink r:id="rId18" ref="L19"/>
    <hyperlink r:id="rId19" ref="L20"/>
    <hyperlink r:id="rId20" ref="L21"/>
    <hyperlink r:id="rId21" ref="L22"/>
    <hyperlink r:id="rId22" ref="L23"/>
    <hyperlink r:id="rId23" ref="L24"/>
    <hyperlink r:id="rId24" ref="L25"/>
    <hyperlink r:id="rId25" ref="L26"/>
    <hyperlink r:id="rId26" ref="L27"/>
    <hyperlink r:id="rId27" ref="L28"/>
    <hyperlink r:id="rId28" ref="L29"/>
    <hyperlink r:id="rId29" ref="L30"/>
    <hyperlink r:id="rId30" ref="L31"/>
    <hyperlink r:id="rId31" ref="L32"/>
    <hyperlink r:id="rId32" ref="L33"/>
    <hyperlink r:id="rId33" ref="L34"/>
    <hyperlink r:id="rId34" ref="L35"/>
    <hyperlink r:id="rId35" ref="L36"/>
    <hyperlink r:id="rId36" ref="L37"/>
    <hyperlink r:id="rId37" ref="L38"/>
    <hyperlink r:id="rId38" ref="L39"/>
    <hyperlink r:id="rId39" ref="L40"/>
    <hyperlink r:id="rId40" ref="L41"/>
    <hyperlink r:id="rId41" ref="L42"/>
    <hyperlink r:id="rId42" ref="L43"/>
    <hyperlink r:id="rId43" ref="L44"/>
    <hyperlink r:id="rId44" ref="L45"/>
    <hyperlink r:id="rId45" ref="A46"/>
    <hyperlink r:id="rId46" ref="L46"/>
    <hyperlink r:id="rId47" ref="L47"/>
    <hyperlink r:id="rId48" ref="L48"/>
    <hyperlink r:id="rId49" ref="L49"/>
    <hyperlink r:id="rId50" ref="L50"/>
    <hyperlink r:id="rId51" ref="L51"/>
    <hyperlink r:id="rId52" ref="L52"/>
    <hyperlink r:id="rId53" ref="A53"/>
    <hyperlink r:id="rId54" ref="L53"/>
    <hyperlink r:id="rId55" ref="L54"/>
    <hyperlink r:id="rId56" ref="A55"/>
    <hyperlink r:id="rId57" ref="L55"/>
    <hyperlink r:id="rId58" ref="L56"/>
    <hyperlink r:id="rId59" ref="A57"/>
    <hyperlink r:id="rId60" ref="L57"/>
    <hyperlink r:id="rId61" ref="L58"/>
    <hyperlink r:id="rId62" ref="L59"/>
    <hyperlink r:id="rId63" ref="L60"/>
    <hyperlink r:id="rId64" ref="L61"/>
    <hyperlink r:id="rId65" ref="A62"/>
    <hyperlink r:id="rId66" ref="L62"/>
    <hyperlink r:id="rId67" ref="A63"/>
    <hyperlink r:id="rId68" ref="L63"/>
    <hyperlink r:id="rId69" ref="L64"/>
    <hyperlink r:id="rId70" ref="L65"/>
    <hyperlink r:id="rId71" ref="L66"/>
    <hyperlink r:id="rId72" ref="L67"/>
    <hyperlink r:id="rId73" ref="L68"/>
    <hyperlink r:id="rId74" ref="L69"/>
    <hyperlink r:id="rId75" ref="L70"/>
    <hyperlink r:id="rId76" ref="L71"/>
    <hyperlink r:id="rId77" ref="L72"/>
    <hyperlink r:id="rId78" ref="L73"/>
    <hyperlink r:id="rId79" ref="A74"/>
    <hyperlink r:id="rId80" ref="L74"/>
    <hyperlink r:id="rId81" ref="L75"/>
    <hyperlink r:id="rId82" ref="L76"/>
    <hyperlink r:id="rId83" ref="L77"/>
    <hyperlink r:id="rId84" ref="L78"/>
    <hyperlink r:id="rId85" ref="L79"/>
    <hyperlink r:id="rId86" ref="L80"/>
    <hyperlink r:id="rId87" ref="L81"/>
    <hyperlink r:id="rId88" ref="A82"/>
    <hyperlink r:id="rId89" ref="L82"/>
    <hyperlink r:id="rId90" ref="L83"/>
    <hyperlink r:id="rId91" ref="L84"/>
    <hyperlink r:id="rId92" ref="L85"/>
    <hyperlink r:id="rId93" ref="L86"/>
    <hyperlink r:id="rId94" ref="L87"/>
    <hyperlink r:id="rId95" ref="A88"/>
    <hyperlink r:id="rId96" ref="L88"/>
    <hyperlink r:id="rId97" ref="L89"/>
    <hyperlink r:id="rId98" ref="L90"/>
    <hyperlink r:id="rId99" ref="L91"/>
    <hyperlink r:id="rId100" ref="A92"/>
    <hyperlink r:id="rId101" ref="L92"/>
    <hyperlink r:id="rId102" ref="L93"/>
    <hyperlink r:id="rId103" ref="L94"/>
    <hyperlink r:id="rId104" ref="L95"/>
    <hyperlink r:id="rId105" ref="L96"/>
    <hyperlink r:id="rId106" ref="A97"/>
    <hyperlink r:id="rId107" ref="L97"/>
    <hyperlink r:id="rId108" ref="L98"/>
    <hyperlink r:id="rId109" ref="L99"/>
    <hyperlink r:id="rId110" ref="L100"/>
    <hyperlink r:id="rId111" ref="L101"/>
    <hyperlink r:id="rId112" ref="L102"/>
    <hyperlink r:id="rId113" ref="L103"/>
    <hyperlink r:id="rId114" ref="L104"/>
    <hyperlink r:id="rId115" ref="L105"/>
    <hyperlink r:id="rId116" ref="L106"/>
    <hyperlink r:id="rId117" ref="L107"/>
    <hyperlink r:id="rId118" ref="L108"/>
    <hyperlink r:id="rId119" ref="L109"/>
    <hyperlink r:id="rId120" ref="L110"/>
    <hyperlink r:id="rId121" ref="L111"/>
    <hyperlink r:id="rId122" ref="L112"/>
    <hyperlink r:id="rId123" ref="L113"/>
    <hyperlink r:id="rId124" ref="L114"/>
    <hyperlink r:id="rId125" ref="A115"/>
    <hyperlink r:id="rId126" ref="L115"/>
    <hyperlink r:id="rId127" ref="L116"/>
    <hyperlink r:id="rId128" ref="L117"/>
    <hyperlink r:id="rId129" ref="L118"/>
    <hyperlink r:id="rId130" ref="L119"/>
    <hyperlink r:id="rId131" ref="L120"/>
    <hyperlink r:id="rId132" ref="L121"/>
    <hyperlink r:id="rId133" ref="L122"/>
    <hyperlink r:id="rId134" ref="L123"/>
    <hyperlink r:id="rId135" ref="A124"/>
    <hyperlink r:id="rId136" ref="L124"/>
    <hyperlink r:id="rId137" ref="L125"/>
    <hyperlink r:id="rId138" ref="A126"/>
    <hyperlink r:id="rId139" ref="L126"/>
    <hyperlink r:id="rId140" ref="L127"/>
    <hyperlink r:id="rId141" ref="L128"/>
    <hyperlink r:id="rId142" ref="L129"/>
    <hyperlink r:id="rId143" ref="A130"/>
    <hyperlink r:id="rId144" ref="L130"/>
    <hyperlink r:id="rId145" ref="L131"/>
    <hyperlink r:id="rId146" ref="L132"/>
    <hyperlink r:id="rId147" ref="L133"/>
    <hyperlink r:id="rId148" ref="L134"/>
    <hyperlink r:id="rId149" ref="L135"/>
    <hyperlink r:id="rId150" ref="A136"/>
    <hyperlink r:id="rId151" ref="L136"/>
    <hyperlink r:id="rId152" ref="A137"/>
    <hyperlink r:id="rId153" ref="L137"/>
    <hyperlink r:id="rId154" ref="L138"/>
    <hyperlink r:id="rId155" ref="L139"/>
    <hyperlink r:id="rId156" ref="L140"/>
    <hyperlink r:id="rId157" ref="L141"/>
    <hyperlink r:id="rId158" ref="L142"/>
    <hyperlink r:id="rId159" ref="L143"/>
    <hyperlink r:id="rId160" ref="L144"/>
    <hyperlink r:id="rId161" ref="L145"/>
    <hyperlink r:id="rId162" ref="L146"/>
    <hyperlink r:id="rId163" ref="L147"/>
    <hyperlink r:id="rId164" ref="L148"/>
    <hyperlink r:id="rId165" ref="L149"/>
    <hyperlink r:id="rId166" ref="L150"/>
    <hyperlink r:id="rId167" ref="L151"/>
    <hyperlink r:id="rId168" ref="L152"/>
    <hyperlink r:id="rId169" ref="L153"/>
    <hyperlink r:id="rId170" ref="A154"/>
    <hyperlink r:id="rId171" ref="L154"/>
    <hyperlink r:id="rId172" ref="L155"/>
    <hyperlink r:id="rId173" ref="L156"/>
    <hyperlink r:id="rId174" ref="L157"/>
    <hyperlink r:id="rId175" ref="L158"/>
    <hyperlink r:id="rId176" ref="L159"/>
    <hyperlink r:id="rId177" ref="L160"/>
    <hyperlink r:id="rId178" ref="L161"/>
    <hyperlink r:id="rId179" ref="L162"/>
    <hyperlink r:id="rId180" ref="L163"/>
    <hyperlink r:id="rId181" ref="L164"/>
    <hyperlink r:id="rId182" ref="L165"/>
    <hyperlink r:id="rId183" ref="A166"/>
    <hyperlink r:id="rId184" ref="L166"/>
    <hyperlink r:id="rId185" ref="L167"/>
    <hyperlink r:id="rId186" ref="L168"/>
    <hyperlink r:id="rId187" ref="L169"/>
    <hyperlink r:id="rId188" ref="L170"/>
    <hyperlink r:id="rId189" ref="L171"/>
    <hyperlink r:id="rId190" ref="L172"/>
    <hyperlink r:id="rId191" ref="L173"/>
    <hyperlink r:id="rId192" ref="L174"/>
    <hyperlink r:id="rId193" ref="L175"/>
    <hyperlink r:id="rId194" ref="A176"/>
    <hyperlink r:id="rId195" ref="L176"/>
    <hyperlink r:id="rId196" ref="L177"/>
    <hyperlink r:id="rId197" ref="L178"/>
    <hyperlink r:id="rId198" ref="A179"/>
    <hyperlink r:id="rId199" ref="L179"/>
    <hyperlink r:id="rId200" ref="L180"/>
    <hyperlink r:id="rId201" ref="L181"/>
    <hyperlink r:id="rId202" ref="L182"/>
    <hyperlink r:id="rId203" ref="L183"/>
    <hyperlink r:id="rId204" ref="L184"/>
    <hyperlink r:id="rId205" ref="L185"/>
    <hyperlink r:id="rId206" ref="L186"/>
    <hyperlink r:id="rId207" ref="L187"/>
    <hyperlink r:id="rId208" ref="L188"/>
    <hyperlink r:id="rId209" ref="L189"/>
    <hyperlink r:id="rId210" ref="L190"/>
    <hyperlink r:id="rId211" ref="L191"/>
    <hyperlink r:id="rId212" ref="L192"/>
    <hyperlink r:id="rId213" ref="L193"/>
    <hyperlink r:id="rId214" ref="L194"/>
    <hyperlink r:id="rId215" ref="L195"/>
    <hyperlink r:id="rId216" ref="L196"/>
    <hyperlink r:id="rId217" ref="L197"/>
    <hyperlink r:id="rId218" ref="L198"/>
    <hyperlink r:id="rId219" ref="L199"/>
    <hyperlink r:id="rId220" ref="L200"/>
    <hyperlink r:id="rId221" ref="L201"/>
    <hyperlink r:id="rId222" ref="L202"/>
    <hyperlink r:id="rId223" ref="L203"/>
    <hyperlink r:id="rId224" ref="L204"/>
    <hyperlink r:id="rId225" ref="L205"/>
    <hyperlink r:id="rId226" ref="L206"/>
    <hyperlink r:id="rId227" ref="L207"/>
    <hyperlink r:id="rId228" ref="L208"/>
    <hyperlink r:id="rId229" ref="L209"/>
    <hyperlink r:id="rId230" ref="L210"/>
    <hyperlink r:id="rId231" ref="L211"/>
    <hyperlink r:id="rId232" ref="L212"/>
    <hyperlink r:id="rId233" ref="L213"/>
    <hyperlink r:id="rId234" ref="A214"/>
    <hyperlink r:id="rId235" ref="L214"/>
  </hyperlinks>
  <drawing r:id="rId236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4.38"/>
    <col customWidth="1" min="2" max="2" width="23.38"/>
    <col customWidth="1" min="3" max="3" width="16.38"/>
    <col customWidth="1" min="4" max="4" width="17.13"/>
  </cols>
  <sheetData>
    <row r="1">
      <c r="A1" s="566" t="s">
        <v>1584</v>
      </c>
      <c r="B1" s="566" t="s">
        <v>1585</v>
      </c>
      <c r="C1" s="566" t="s">
        <v>1586</v>
      </c>
      <c r="D1" s="567" t="s">
        <v>1587</v>
      </c>
      <c r="E1" s="566" t="s">
        <v>1588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>
      <c r="A2" s="558" t="s">
        <v>1589</v>
      </c>
      <c r="B2" s="568">
        <v>504.0</v>
      </c>
      <c r="C2" s="559">
        <v>45154.0</v>
      </c>
      <c r="D2" s="569">
        <v>3042.0</v>
      </c>
      <c r="E2" s="559">
        <v>45139.0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>
      <c r="A3" s="558" t="s">
        <v>1589</v>
      </c>
      <c r="B3" s="568">
        <v>383.0</v>
      </c>
      <c r="C3" s="559">
        <v>45123.0</v>
      </c>
      <c r="D3" s="569">
        <v>5152.0</v>
      </c>
      <c r="E3" s="559">
        <v>45139.0</v>
      </c>
    </row>
    <row r="4">
      <c r="A4" s="558" t="s">
        <v>1590</v>
      </c>
      <c r="B4" s="568">
        <v>4.0</v>
      </c>
      <c r="C4" s="559">
        <v>45138.0</v>
      </c>
      <c r="D4" s="569">
        <v>990.0</v>
      </c>
      <c r="E4" s="559">
        <v>45139.0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>
      <c r="A5" s="558" t="s">
        <v>1591</v>
      </c>
      <c r="B5" s="568" t="s">
        <v>1592</v>
      </c>
      <c r="C5" s="559">
        <v>45048.0</v>
      </c>
      <c r="D5" s="569">
        <v>1000.0</v>
      </c>
      <c r="E5" s="559">
        <v>45139.0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>
      <c r="A6" s="558" t="s">
        <v>1593</v>
      </c>
      <c r="B6" s="568">
        <v>11.0</v>
      </c>
      <c r="C6" s="559">
        <v>45142.0</v>
      </c>
      <c r="D6" s="569">
        <v>2000.0</v>
      </c>
      <c r="E6" s="559">
        <v>45139.0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>
      <c r="A7" s="558" t="s">
        <v>1594</v>
      </c>
      <c r="B7" s="568">
        <v>9479179.0</v>
      </c>
      <c r="C7" s="559">
        <v>45160.0</v>
      </c>
      <c r="D7" s="569">
        <v>1500.0</v>
      </c>
      <c r="E7" s="559">
        <v>45139.0</v>
      </c>
    </row>
    <row r="8">
      <c r="A8" s="558" t="s">
        <v>1595</v>
      </c>
      <c r="B8" s="568">
        <v>796160.0</v>
      </c>
      <c r="C8" s="559">
        <v>45168.0</v>
      </c>
      <c r="D8" s="569">
        <v>1596.0</v>
      </c>
      <c r="E8" s="559">
        <v>45139.0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>
      <c r="A9" s="558" t="s">
        <v>1596</v>
      </c>
      <c r="B9" s="568">
        <v>8086.0</v>
      </c>
      <c r="C9" s="559">
        <v>45117.0</v>
      </c>
      <c r="D9" s="569">
        <v>23740.0</v>
      </c>
      <c r="E9" s="559">
        <v>45139.0</v>
      </c>
    </row>
    <row r="10">
      <c r="A10" s="558" t="s">
        <v>1597</v>
      </c>
      <c r="B10" s="568" t="s">
        <v>1598</v>
      </c>
      <c r="C10" s="559">
        <v>45161.0</v>
      </c>
      <c r="D10" s="569">
        <v>6030.0</v>
      </c>
      <c r="E10" s="559">
        <v>45139.0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>
      <c r="A11" s="558" t="s">
        <v>1599</v>
      </c>
      <c r="B11" s="568" t="s">
        <v>1600</v>
      </c>
      <c r="C11" s="559">
        <v>45134.0</v>
      </c>
      <c r="D11" s="569">
        <v>6690.0</v>
      </c>
      <c r="E11" s="559">
        <v>45139.0</v>
      </c>
    </row>
    <row r="12">
      <c r="A12" s="558" t="s">
        <v>1601</v>
      </c>
      <c r="B12" s="568">
        <v>5.0</v>
      </c>
      <c r="C12" s="559">
        <v>45138.0</v>
      </c>
      <c r="D12" s="569">
        <v>2175.0</v>
      </c>
      <c r="E12" s="559">
        <v>45139.0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>
      <c r="A13" s="558" t="s">
        <v>1602</v>
      </c>
      <c r="B13" s="568" t="s">
        <v>1603</v>
      </c>
      <c r="C13" s="559">
        <v>45171.0</v>
      </c>
      <c r="D13" s="569">
        <v>5517.57</v>
      </c>
      <c r="E13" s="559">
        <v>45145.0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>
      <c r="A14" s="558" t="s">
        <v>1604</v>
      </c>
      <c r="B14" s="570">
        <v>45138.0</v>
      </c>
      <c r="C14" s="559">
        <v>45168.0</v>
      </c>
      <c r="D14" s="569">
        <v>14096.0</v>
      </c>
      <c r="E14" s="559">
        <v>45145.0</v>
      </c>
    </row>
    <row r="15">
      <c r="A15" s="558" t="s">
        <v>1605</v>
      </c>
      <c r="B15" s="568">
        <v>1001.0</v>
      </c>
      <c r="C15" s="559">
        <v>45171.0</v>
      </c>
      <c r="D15" s="569">
        <v>10258.34</v>
      </c>
      <c r="E15" s="559">
        <v>45145.0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>
      <c r="A16" s="558" t="s">
        <v>1606</v>
      </c>
      <c r="B16" s="568">
        <v>2.0</v>
      </c>
      <c r="C16" s="559">
        <v>45049.0</v>
      </c>
      <c r="D16" s="569">
        <v>-403.75</v>
      </c>
      <c r="E16" s="559">
        <v>45146.0</v>
      </c>
    </row>
    <row r="17">
      <c r="A17" s="558" t="s">
        <v>1607</v>
      </c>
      <c r="B17" s="568">
        <v>229397.0</v>
      </c>
      <c r="C17" s="559">
        <v>45171.0</v>
      </c>
      <c r="D17" s="569">
        <v>40825.18</v>
      </c>
      <c r="E17" s="559">
        <v>45147.0</v>
      </c>
    </row>
    <row r="18">
      <c r="A18" s="558" t="s">
        <v>1608</v>
      </c>
      <c r="B18" s="568">
        <v>3939.0</v>
      </c>
      <c r="C18" s="559">
        <v>45140.0</v>
      </c>
      <c r="D18" s="569">
        <v>4227.5</v>
      </c>
      <c r="E18" s="559">
        <v>45147.0</v>
      </c>
    </row>
    <row r="19">
      <c r="A19" s="558" t="s">
        <v>1609</v>
      </c>
      <c r="B19" s="568" t="s">
        <v>1610</v>
      </c>
      <c r="C19" s="559">
        <v>45169.0</v>
      </c>
      <c r="D19" s="569">
        <v>63.8</v>
      </c>
      <c r="E19" s="559">
        <v>45147.0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>
      <c r="A20" s="558" t="s">
        <v>1609</v>
      </c>
      <c r="B20" s="568" t="s">
        <v>1611</v>
      </c>
      <c r="C20" s="559">
        <v>45169.0</v>
      </c>
      <c r="D20" s="569">
        <v>1025.0</v>
      </c>
      <c r="E20" s="559">
        <v>45147.0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>
      <c r="A21" s="558" t="s">
        <v>1612</v>
      </c>
      <c r="B21" s="568">
        <v>9.0</v>
      </c>
      <c r="C21" s="559">
        <v>45115.0</v>
      </c>
      <c r="D21" s="569">
        <v>2275.0</v>
      </c>
      <c r="E21" s="559">
        <v>45147.0</v>
      </c>
    </row>
    <row r="22">
      <c r="A22" s="558" t="s">
        <v>1612</v>
      </c>
      <c r="B22" s="568">
        <v>10.0</v>
      </c>
      <c r="C22" s="559">
        <v>45137.0</v>
      </c>
      <c r="D22" s="569">
        <v>2625.0</v>
      </c>
      <c r="E22" s="559">
        <v>45147.0</v>
      </c>
    </row>
    <row r="23">
      <c r="A23" s="558" t="s">
        <v>1613</v>
      </c>
      <c r="B23" s="568">
        <v>8.0</v>
      </c>
      <c r="C23" s="559">
        <v>45168.0</v>
      </c>
      <c r="D23" s="569">
        <v>5746.3</v>
      </c>
      <c r="E23" s="559">
        <v>45147.0</v>
      </c>
    </row>
    <row r="24">
      <c r="A24" s="558" t="s">
        <v>1614</v>
      </c>
      <c r="B24" s="568">
        <v>1365.0</v>
      </c>
      <c r="C24" s="559">
        <v>45170.0</v>
      </c>
      <c r="D24" s="569">
        <v>10000.0</v>
      </c>
      <c r="E24" s="559">
        <v>45147.0</v>
      </c>
    </row>
    <row r="25">
      <c r="A25" s="558" t="s">
        <v>1594</v>
      </c>
      <c r="B25" s="568">
        <v>9484523.0</v>
      </c>
      <c r="C25" s="559">
        <v>45168.0</v>
      </c>
      <c r="D25" s="569">
        <v>300.0</v>
      </c>
      <c r="E25" s="559">
        <v>45147.0</v>
      </c>
    </row>
    <row r="26">
      <c r="A26" s="558" t="s">
        <v>1615</v>
      </c>
      <c r="B26" s="568">
        <v>7152023.0</v>
      </c>
      <c r="C26" s="559">
        <v>45152.0</v>
      </c>
      <c r="D26" s="569">
        <v>43078.43</v>
      </c>
      <c r="E26" s="559">
        <v>45147.0</v>
      </c>
    </row>
    <row r="27">
      <c r="A27" s="558" t="s">
        <v>1616</v>
      </c>
      <c r="B27" s="568">
        <v>88525.0</v>
      </c>
      <c r="C27" s="559">
        <v>45144.0</v>
      </c>
      <c r="D27" s="569">
        <v>961.35</v>
      </c>
      <c r="E27" s="559">
        <v>45147.0</v>
      </c>
    </row>
    <row r="28">
      <c r="A28" s="558" t="s">
        <v>1617</v>
      </c>
      <c r="B28" s="568">
        <v>278680.0</v>
      </c>
      <c r="C28" s="559">
        <v>45169.0</v>
      </c>
      <c r="D28" s="569">
        <v>51.0</v>
      </c>
      <c r="E28" s="559">
        <v>45147.0</v>
      </c>
    </row>
    <row r="29">
      <c r="A29" s="558" t="s">
        <v>1606</v>
      </c>
      <c r="B29" s="568">
        <v>2.0</v>
      </c>
      <c r="C29" s="559">
        <v>45049.0</v>
      </c>
      <c r="D29" s="569">
        <v>403.75</v>
      </c>
      <c r="E29" s="559">
        <v>45147.0</v>
      </c>
    </row>
    <row r="30">
      <c r="A30" s="558" t="s">
        <v>1618</v>
      </c>
      <c r="B30" s="568" t="s">
        <v>1619</v>
      </c>
      <c r="C30" s="559">
        <v>45169.0</v>
      </c>
      <c r="D30" s="569">
        <v>6415.5</v>
      </c>
      <c r="E30" s="559">
        <v>45147.0</v>
      </c>
    </row>
    <row r="31">
      <c r="A31" s="558" t="s">
        <v>1620</v>
      </c>
      <c r="B31" s="568">
        <v>195018.0</v>
      </c>
      <c r="C31" s="559">
        <v>45163.0</v>
      </c>
      <c r="D31" s="569">
        <v>3000.0</v>
      </c>
      <c r="E31" s="559">
        <v>45147.0</v>
      </c>
    </row>
    <row r="32">
      <c r="A32" s="558" t="s">
        <v>1621</v>
      </c>
      <c r="B32" s="568">
        <v>1.0</v>
      </c>
      <c r="C32" s="559">
        <v>45147.0</v>
      </c>
      <c r="D32" s="569">
        <v>4437.5</v>
      </c>
      <c r="E32" s="559">
        <v>45152.0</v>
      </c>
    </row>
    <row r="33">
      <c r="A33" s="558" t="s">
        <v>1622</v>
      </c>
      <c r="B33" s="568" t="s">
        <v>1623</v>
      </c>
      <c r="C33" s="559">
        <v>45108.0</v>
      </c>
      <c r="D33" s="569">
        <v>88948.34</v>
      </c>
      <c r="E33" s="559">
        <v>45152.0</v>
      </c>
    </row>
    <row r="34">
      <c r="A34" s="558" t="s">
        <v>1622</v>
      </c>
      <c r="B34" s="568" t="s">
        <v>1624</v>
      </c>
      <c r="C34" s="559">
        <v>45108.0</v>
      </c>
      <c r="D34" s="569">
        <v>855.0</v>
      </c>
      <c r="E34" s="559">
        <v>45152.0</v>
      </c>
    </row>
    <row r="35">
      <c r="A35" s="558" t="s">
        <v>1625</v>
      </c>
      <c r="B35" s="568">
        <v>1012.0</v>
      </c>
      <c r="C35" s="559">
        <v>45135.0</v>
      </c>
      <c r="D35" s="569">
        <v>200.0</v>
      </c>
      <c r="E35" s="559">
        <v>45152.0</v>
      </c>
    </row>
    <row r="36">
      <c r="A36" s="558" t="s">
        <v>1625</v>
      </c>
      <c r="B36" s="568">
        <v>1013.0</v>
      </c>
      <c r="C36" s="559">
        <v>45135.0</v>
      </c>
      <c r="D36" s="569">
        <v>625.0</v>
      </c>
      <c r="E36" s="559">
        <v>45152.0</v>
      </c>
    </row>
    <row r="37">
      <c r="A37" s="558" t="s">
        <v>1626</v>
      </c>
      <c r="B37" s="568">
        <v>4423.0</v>
      </c>
      <c r="C37" s="559">
        <v>45175.0</v>
      </c>
      <c r="D37" s="569">
        <v>3410.0</v>
      </c>
      <c r="E37" s="559">
        <v>45152.0</v>
      </c>
    </row>
    <row r="38">
      <c r="A38" s="558" t="s">
        <v>1627</v>
      </c>
      <c r="B38" s="568">
        <v>76795.0</v>
      </c>
      <c r="C38" s="559">
        <v>45176.0</v>
      </c>
      <c r="D38" s="569">
        <v>575.0</v>
      </c>
      <c r="E38" s="559">
        <v>45152.0</v>
      </c>
    </row>
    <row r="39">
      <c r="A39" s="558" t="s">
        <v>1627</v>
      </c>
      <c r="B39" s="568">
        <v>76785.0</v>
      </c>
      <c r="C39" s="559">
        <v>45176.0</v>
      </c>
      <c r="D39" s="569">
        <v>9185.75</v>
      </c>
      <c r="E39" s="559">
        <v>45152.0</v>
      </c>
    </row>
    <row r="40">
      <c r="A40" s="558" t="s">
        <v>1594</v>
      </c>
      <c r="B40" s="568">
        <v>9479184.0</v>
      </c>
      <c r="C40" s="559">
        <v>45176.0</v>
      </c>
      <c r="D40" s="569">
        <v>800.0</v>
      </c>
      <c r="E40" s="559">
        <v>45152.0</v>
      </c>
    </row>
    <row r="41">
      <c r="A41" s="558" t="s">
        <v>1615</v>
      </c>
      <c r="B41" s="568">
        <v>7312023.0</v>
      </c>
      <c r="C41" s="559">
        <v>45168.0</v>
      </c>
      <c r="D41" s="569">
        <v>47396.95</v>
      </c>
      <c r="E41" s="559">
        <v>45152.0</v>
      </c>
    </row>
    <row r="42">
      <c r="A42" s="558" t="s">
        <v>1596</v>
      </c>
      <c r="B42" s="568">
        <v>8084.0</v>
      </c>
      <c r="C42" s="559">
        <v>45147.0</v>
      </c>
      <c r="D42" s="569">
        <v>24349.0</v>
      </c>
      <c r="E42" s="559">
        <v>45152.0</v>
      </c>
    </row>
    <row r="43">
      <c r="A43" s="558" t="s">
        <v>1628</v>
      </c>
      <c r="B43" s="568">
        <v>1557.0</v>
      </c>
      <c r="C43" s="559">
        <v>45170.0</v>
      </c>
      <c r="D43" s="569">
        <v>5707.51</v>
      </c>
      <c r="E43" s="559">
        <v>45152.0</v>
      </c>
    </row>
    <row r="44">
      <c r="A44" s="558" t="s">
        <v>1629</v>
      </c>
      <c r="B44" s="568">
        <v>3659831.0</v>
      </c>
      <c r="C44" s="559">
        <v>45176.0</v>
      </c>
      <c r="D44" s="569">
        <v>2002.84</v>
      </c>
      <c r="E44" s="559">
        <v>45152.0</v>
      </c>
    </row>
    <row r="45">
      <c r="A45" s="558" t="s">
        <v>1630</v>
      </c>
      <c r="B45" s="568">
        <v>2.0</v>
      </c>
      <c r="C45" s="559">
        <v>45177.0</v>
      </c>
      <c r="D45" s="569">
        <v>1600.0</v>
      </c>
      <c r="E45" s="559">
        <v>45152.0</v>
      </c>
    </row>
    <row r="46">
      <c r="A46" s="558" t="s">
        <v>1631</v>
      </c>
      <c r="B46" s="568">
        <v>14.0</v>
      </c>
      <c r="C46" s="559">
        <v>45169.0</v>
      </c>
      <c r="D46" s="569">
        <v>500.0</v>
      </c>
      <c r="E46" s="559">
        <v>45152.0</v>
      </c>
    </row>
    <row r="47">
      <c r="A47" s="558" t="s">
        <v>1601</v>
      </c>
      <c r="B47" s="568" t="s">
        <v>1632</v>
      </c>
      <c r="C47" s="559">
        <v>45151.0</v>
      </c>
      <c r="D47" s="569">
        <v>3500.0</v>
      </c>
      <c r="E47" s="559">
        <v>45152.0</v>
      </c>
    </row>
    <row r="48">
      <c r="A48" s="558" t="s">
        <v>1633</v>
      </c>
      <c r="B48" s="568">
        <v>1.000168279E9</v>
      </c>
      <c r="C48" s="559">
        <v>45177.0</v>
      </c>
      <c r="D48" s="569">
        <v>2017.59</v>
      </c>
      <c r="E48" s="559">
        <v>45152.0</v>
      </c>
    </row>
    <row r="49">
      <c r="A49" s="558" t="s">
        <v>1607</v>
      </c>
      <c r="B49" s="568">
        <v>229474.0</v>
      </c>
      <c r="C49" s="559">
        <v>45169.0</v>
      </c>
      <c r="D49" s="569">
        <v>99876.25</v>
      </c>
      <c r="E49" s="559">
        <v>45159.0</v>
      </c>
    </row>
    <row r="50">
      <c r="A50" s="558" t="s">
        <v>1634</v>
      </c>
      <c r="B50" s="568">
        <v>1.1319542E7</v>
      </c>
      <c r="C50" s="559">
        <v>45172.0</v>
      </c>
      <c r="D50" s="569">
        <v>49978.5</v>
      </c>
      <c r="E50" s="559">
        <v>45159.0</v>
      </c>
    </row>
    <row r="51">
      <c r="A51" s="558" t="s">
        <v>1635</v>
      </c>
      <c r="B51" s="568" t="s">
        <v>1636</v>
      </c>
      <c r="C51" s="559">
        <v>45179.0</v>
      </c>
      <c r="D51" s="569">
        <v>326.9</v>
      </c>
      <c r="E51" s="559">
        <v>45159.0</v>
      </c>
    </row>
    <row r="52">
      <c r="A52" s="558" t="s">
        <v>1637</v>
      </c>
      <c r="B52" s="568" t="s">
        <v>1638</v>
      </c>
      <c r="C52" s="559">
        <v>45133.0</v>
      </c>
      <c r="D52" s="569">
        <v>25.0</v>
      </c>
      <c r="E52" s="559">
        <v>45159.0</v>
      </c>
    </row>
    <row r="53">
      <c r="A53" s="558" t="s">
        <v>1637</v>
      </c>
      <c r="B53" s="568" t="s">
        <v>1639</v>
      </c>
      <c r="C53" s="559">
        <v>45118.0</v>
      </c>
      <c r="D53" s="569">
        <v>1671.5</v>
      </c>
      <c r="E53" s="559">
        <v>45159.0</v>
      </c>
    </row>
    <row r="54">
      <c r="A54" s="558" t="s">
        <v>1640</v>
      </c>
      <c r="B54" s="568">
        <v>406360.0</v>
      </c>
      <c r="C54" s="559">
        <v>45159.0</v>
      </c>
      <c r="D54" s="569">
        <v>2400.0</v>
      </c>
      <c r="E54" s="559">
        <v>45159.0</v>
      </c>
    </row>
    <row r="55">
      <c r="A55" s="558" t="s">
        <v>1640</v>
      </c>
      <c r="B55" s="568">
        <v>406363.0</v>
      </c>
      <c r="C55" s="559">
        <v>45159.0</v>
      </c>
      <c r="D55" s="569">
        <v>2400.0</v>
      </c>
      <c r="E55" s="559">
        <v>45159.0</v>
      </c>
    </row>
    <row r="56">
      <c r="A56" s="558" t="s">
        <v>1616</v>
      </c>
      <c r="B56" s="568">
        <v>88660.0</v>
      </c>
      <c r="C56" s="559">
        <v>45182.0</v>
      </c>
      <c r="D56" s="569">
        <v>2516.1</v>
      </c>
      <c r="E56" s="559">
        <v>45159.0</v>
      </c>
    </row>
    <row r="57">
      <c r="A57" s="558" t="s">
        <v>1617</v>
      </c>
      <c r="B57" s="568" t="s">
        <v>1641</v>
      </c>
      <c r="C57" s="559">
        <v>45179.0</v>
      </c>
      <c r="D57" s="569">
        <v>52.5</v>
      </c>
      <c r="E57" s="559">
        <v>45159.0</v>
      </c>
    </row>
    <row r="58">
      <c r="A58" s="558" t="s">
        <v>1642</v>
      </c>
      <c r="B58" s="568">
        <v>90846.0</v>
      </c>
      <c r="C58" s="559">
        <v>45168.0</v>
      </c>
      <c r="D58" s="569">
        <v>6750.0</v>
      </c>
      <c r="E58" s="559">
        <v>45159.0</v>
      </c>
    </row>
    <row r="59">
      <c r="A59" s="558" t="s">
        <v>1643</v>
      </c>
      <c r="B59" s="568">
        <v>3.530904348E9</v>
      </c>
      <c r="C59" s="559">
        <v>45179.0</v>
      </c>
      <c r="D59" s="569">
        <v>4552.94</v>
      </c>
      <c r="E59" s="559">
        <v>45159.0</v>
      </c>
    </row>
    <row r="60">
      <c r="A60" s="558" t="s">
        <v>1643</v>
      </c>
      <c r="B60" s="568">
        <v>8.071076941E9</v>
      </c>
      <c r="C60" s="559">
        <v>45166.0</v>
      </c>
      <c r="D60" s="569">
        <v>7830.69</v>
      </c>
      <c r="E60" s="559">
        <v>45159.0</v>
      </c>
    </row>
    <row r="61">
      <c r="A61" s="558" t="s">
        <v>1644</v>
      </c>
      <c r="B61" s="568">
        <v>3138.0</v>
      </c>
      <c r="C61" s="559">
        <v>45183.0</v>
      </c>
      <c r="D61" s="569">
        <v>2000.0</v>
      </c>
      <c r="E61" s="559">
        <v>45159.0</v>
      </c>
    </row>
    <row r="62">
      <c r="A62" s="558" t="s">
        <v>1645</v>
      </c>
      <c r="B62" s="568">
        <v>1002.0</v>
      </c>
      <c r="C62" s="559">
        <v>45167.0</v>
      </c>
      <c r="D62" s="569">
        <v>14501.39</v>
      </c>
      <c r="E62" s="559">
        <v>45159.0</v>
      </c>
    </row>
    <row r="63">
      <c r="A63" s="558" t="s">
        <v>1646</v>
      </c>
      <c r="B63" s="568">
        <v>19739.0</v>
      </c>
      <c r="C63" s="559">
        <v>45077.0</v>
      </c>
      <c r="D63" s="569">
        <v>5926.0</v>
      </c>
      <c r="E63" s="559">
        <v>45166.0</v>
      </c>
    </row>
    <row r="64">
      <c r="A64" s="558" t="s">
        <v>1647</v>
      </c>
      <c r="B64" s="568">
        <v>139.0</v>
      </c>
      <c r="C64" s="559">
        <v>45186.0</v>
      </c>
      <c r="D64" s="569">
        <v>1113.6</v>
      </c>
      <c r="E64" s="559">
        <v>45166.0</v>
      </c>
    </row>
    <row r="65">
      <c r="A65" s="558" t="s">
        <v>1621</v>
      </c>
      <c r="B65" s="568">
        <v>2.0</v>
      </c>
      <c r="C65" s="559">
        <v>45161.0</v>
      </c>
      <c r="D65" s="569">
        <v>4875.0</v>
      </c>
      <c r="E65" s="559">
        <v>45166.0</v>
      </c>
    </row>
    <row r="66">
      <c r="A66" s="558" t="s">
        <v>1634</v>
      </c>
      <c r="B66" s="568">
        <v>1.1319079E7</v>
      </c>
      <c r="C66" s="559">
        <v>45169.0</v>
      </c>
      <c r="D66" s="569">
        <v>2710.7</v>
      </c>
      <c r="E66" s="559">
        <v>45166.0</v>
      </c>
    </row>
    <row r="67">
      <c r="A67" s="558" t="s">
        <v>1648</v>
      </c>
      <c r="B67" s="571">
        <v>45161.0</v>
      </c>
      <c r="C67" s="559">
        <v>45191.0</v>
      </c>
      <c r="D67" s="569">
        <v>8580.0</v>
      </c>
      <c r="E67" s="559">
        <v>45166.0</v>
      </c>
    </row>
    <row r="68">
      <c r="A68" s="558" t="s">
        <v>1649</v>
      </c>
      <c r="B68" s="568">
        <v>3334.0</v>
      </c>
      <c r="C68" s="559">
        <v>45169.0</v>
      </c>
      <c r="D68" s="569">
        <v>5052.0</v>
      </c>
      <c r="E68" s="559">
        <v>45166.0</v>
      </c>
    </row>
    <row r="69">
      <c r="A69" s="558" t="s">
        <v>1650</v>
      </c>
      <c r="B69" s="568">
        <v>1.0</v>
      </c>
      <c r="C69" s="559">
        <v>45191.0</v>
      </c>
      <c r="D69" s="569">
        <v>750.0</v>
      </c>
      <c r="E69" s="559">
        <v>45166.0</v>
      </c>
    </row>
    <row r="70">
      <c r="A70" s="558" t="s">
        <v>1651</v>
      </c>
      <c r="B70" s="568">
        <v>1.0</v>
      </c>
      <c r="C70" s="559">
        <v>45165.0</v>
      </c>
      <c r="D70" s="569">
        <v>645.0</v>
      </c>
      <c r="E70" s="559">
        <v>45166.0</v>
      </c>
    </row>
    <row r="71">
      <c r="A71" s="558" t="s">
        <v>1615</v>
      </c>
      <c r="B71" s="568">
        <v>8152023.0</v>
      </c>
      <c r="C71" s="559">
        <v>45183.0</v>
      </c>
      <c r="D71" s="569">
        <v>52151.67</v>
      </c>
      <c r="E71" s="559">
        <v>45166.0</v>
      </c>
    </row>
    <row r="72">
      <c r="A72" s="48"/>
      <c r="B72" s="395"/>
      <c r="C72" s="48"/>
      <c r="D72" s="572"/>
      <c r="E72" s="48"/>
    </row>
    <row r="73">
      <c r="A73" s="48"/>
      <c r="B73" s="395"/>
      <c r="C73" s="43" t="s">
        <v>1652</v>
      </c>
      <c r="D73" s="573">
        <f>SUM(D2:D71)</f>
        <v>677177.19</v>
      </c>
      <c r="E73" s="48"/>
    </row>
    <row r="74">
      <c r="A74" s="48"/>
      <c r="B74" s="395"/>
      <c r="C74" s="48"/>
      <c r="D74" s="572"/>
      <c r="E74" s="48"/>
    </row>
    <row r="75">
      <c r="A75" s="48"/>
      <c r="B75" s="395"/>
      <c r="C75" s="48"/>
      <c r="D75" s="572"/>
      <c r="E75" s="48"/>
    </row>
    <row r="76">
      <c r="A76" s="48"/>
      <c r="B76" s="395"/>
      <c r="C76" s="48"/>
      <c r="D76" s="572"/>
      <c r="E76" s="48"/>
    </row>
    <row r="77">
      <c r="A77" s="48"/>
      <c r="B77" s="395"/>
      <c r="C77" s="48"/>
      <c r="D77" s="572"/>
      <c r="E77" s="48"/>
    </row>
    <row r="78">
      <c r="A78" s="48"/>
      <c r="B78" s="395"/>
      <c r="C78" s="48"/>
      <c r="D78" s="572"/>
      <c r="E78" s="48"/>
    </row>
    <row r="79">
      <c r="A79" s="48"/>
      <c r="B79" s="395"/>
      <c r="C79" s="48"/>
      <c r="D79" s="572"/>
      <c r="E79" s="48"/>
    </row>
    <row r="80">
      <c r="A80" s="48"/>
      <c r="B80" s="395"/>
      <c r="C80" s="48"/>
      <c r="D80" s="572"/>
      <c r="E80" s="48"/>
    </row>
    <row r="81">
      <c r="A81" s="48"/>
      <c r="B81" s="395"/>
      <c r="C81" s="48"/>
      <c r="D81" s="572"/>
      <c r="E81" s="48"/>
    </row>
    <row r="82">
      <c r="A82" s="48"/>
      <c r="B82" s="395"/>
      <c r="C82" s="48"/>
      <c r="D82" s="572"/>
      <c r="E82" s="48"/>
    </row>
    <row r="83">
      <c r="A83" s="48"/>
      <c r="B83" s="395"/>
      <c r="C83" s="48"/>
      <c r="D83" s="572"/>
      <c r="E83" s="48"/>
    </row>
    <row r="84">
      <c r="A84" s="48"/>
      <c r="B84" s="395"/>
      <c r="C84" s="48"/>
      <c r="D84" s="572"/>
      <c r="E84" s="48"/>
    </row>
    <row r="85">
      <c r="A85" s="48"/>
      <c r="B85" s="395"/>
      <c r="C85" s="48"/>
      <c r="D85" s="572"/>
      <c r="E85" s="48"/>
    </row>
    <row r="86">
      <c r="A86" s="48"/>
      <c r="B86" s="395"/>
      <c r="C86" s="48"/>
      <c r="D86" s="572"/>
      <c r="E86" s="48"/>
    </row>
    <row r="87">
      <c r="A87" s="48"/>
      <c r="B87" s="395"/>
      <c r="C87" s="48"/>
      <c r="D87" s="572"/>
      <c r="E87" s="48"/>
    </row>
    <row r="88">
      <c r="A88" s="48"/>
      <c r="B88" s="395"/>
      <c r="C88" s="48"/>
      <c r="D88" s="572"/>
      <c r="E88" s="48"/>
    </row>
    <row r="89">
      <c r="A89" s="48"/>
      <c r="B89" s="395"/>
      <c r="C89" s="48"/>
      <c r="D89" s="572"/>
      <c r="E89" s="48"/>
    </row>
    <row r="90">
      <c r="A90" s="48"/>
      <c r="B90" s="395"/>
      <c r="C90" s="48"/>
      <c r="D90" s="572"/>
      <c r="E90" s="48"/>
    </row>
    <row r="91">
      <c r="A91" s="48"/>
      <c r="B91" s="395"/>
      <c r="C91" s="48"/>
      <c r="D91" s="572"/>
      <c r="E91" s="48"/>
    </row>
    <row r="92">
      <c r="A92" s="48"/>
      <c r="B92" s="395"/>
      <c r="C92" s="48"/>
      <c r="D92" s="572"/>
      <c r="E92" s="48"/>
    </row>
    <row r="93">
      <c r="A93" s="48"/>
      <c r="B93" s="395"/>
      <c r="C93" s="48"/>
      <c r="D93" s="572"/>
      <c r="E93" s="48"/>
    </row>
    <row r="94">
      <c r="A94" s="48"/>
      <c r="B94" s="395"/>
      <c r="C94" s="48"/>
      <c r="D94" s="572"/>
      <c r="E94" s="48"/>
    </row>
    <row r="95">
      <c r="A95" s="48"/>
      <c r="B95" s="395"/>
      <c r="C95" s="48"/>
      <c r="D95" s="572"/>
      <c r="E95" s="48"/>
    </row>
    <row r="96">
      <c r="A96" s="48"/>
      <c r="B96" s="395"/>
      <c r="C96" s="48"/>
      <c r="D96" s="572"/>
      <c r="E96" s="48"/>
    </row>
    <row r="97">
      <c r="A97" s="48"/>
      <c r="B97" s="395"/>
      <c r="C97" s="48"/>
      <c r="D97" s="572"/>
      <c r="E97" s="48"/>
    </row>
    <row r="98">
      <c r="A98" s="48"/>
      <c r="B98" s="395"/>
      <c r="C98" s="48"/>
      <c r="D98" s="572"/>
      <c r="E98" s="48"/>
    </row>
    <row r="99">
      <c r="A99" s="48"/>
      <c r="B99" s="395"/>
      <c r="C99" s="48"/>
      <c r="D99" s="572"/>
      <c r="E99" s="48"/>
    </row>
    <row r="100">
      <c r="A100" s="48"/>
      <c r="B100" s="395"/>
      <c r="C100" s="48"/>
      <c r="D100" s="572"/>
      <c r="E100" s="48"/>
    </row>
    <row r="101">
      <c r="A101" s="48"/>
      <c r="B101" s="395"/>
      <c r="C101" s="48"/>
      <c r="D101" s="572"/>
      <c r="E101" s="48"/>
    </row>
    <row r="102">
      <c r="A102" s="48"/>
      <c r="B102" s="395"/>
      <c r="C102" s="48"/>
      <c r="D102" s="572"/>
      <c r="E102" s="48"/>
    </row>
    <row r="103">
      <c r="A103" s="48"/>
      <c r="B103" s="395"/>
      <c r="C103" s="48"/>
      <c r="D103" s="572"/>
      <c r="E103" s="48"/>
    </row>
    <row r="104">
      <c r="A104" s="48"/>
      <c r="B104" s="395"/>
      <c r="C104" s="48"/>
      <c r="D104" s="572"/>
      <c r="E104" s="48"/>
    </row>
    <row r="105">
      <c r="A105" s="48"/>
      <c r="B105" s="395"/>
      <c r="C105" s="48"/>
      <c r="D105" s="572"/>
      <c r="E105" s="48"/>
    </row>
    <row r="106">
      <c r="A106" s="48"/>
      <c r="B106" s="395"/>
      <c r="C106" s="48"/>
      <c r="D106" s="572"/>
      <c r="E106" s="48"/>
    </row>
    <row r="107">
      <c r="A107" s="48"/>
      <c r="B107" s="395"/>
      <c r="C107" s="48"/>
      <c r="D107" s="572"/>
      <c r="E107" s="48"/>
    </row>
    <row r="108">
      <c r="A108" s="48"/>
      <c r="B108" s="395"/>
      <c r="C108" s="48"/>
      <c r="D108" s="572"/>
      <c r="E108" s="48"/>
    </row>
    <row r="109">
      <c r="A109" s="48"/>
      <c r="B109" s="395"/>
      <c r="C109" s="48"/>
      <c r="D109" s="572"/>
      <c r="E109" s="48"/>
    </row>
    <row r="110">
      <c r="A110" s="48"/>
      <c r="B110" s="395"/>
      <c r="C110" s="48"/>
      <c r="D110" s="572"/>
      <c r="E110" s="48"/>
    </row>
    <row r="111">
      <c r="A111" s="48"/>
      <c r="B111" s="395"/>
      <c r="C111" s="48"/>
      <c r="D111" s="572"/>
      <c r="E111" s="48"/>
    </row>
    <row r="112">
      <c r="A112" s="48"/>
      <c r="B112" s="395"/>
      <c r="C112" s="48"/>
      <c r="D112" s="572"/>
      <c r="E112" s="48"/>
    </row>
    <row r="113">
      <c r="A113" s="48"/>
      <c r="B113" s="395"/>
      <c r="C113" s="48"/>
      <c r="D113" s="572"/>
      <c r="E113" s="48"/>
    </row>
    <row r="114">
      <c r="A114" s="48"/>
      <c r="B114" s="395"/>
      <c r="C114" s="48"/>
      <c r="D114" s="572"/>
      <c r="E114" s="48"/>
    </row>
    <row r="115">
      <c r="A115" s="48"/>
      <c r="B115" s="395"/>
      <c r="C115" s="48"/>
      <c r="D115" s="572"/>
      <c r="E115" s="48"/>
    </row>
    <row r="116">
      <c r="A116" s="48"/>
      <c r="B116" s="395"/>
      <c r="C116" s="48"/>
      <c r="D116" s="572"/>
      <c r="E116" s="48"/>
    </row>
    <row r="117">
      <c r="A117" s="48"/>
      <c r="B117" s="395"/>
      <c r="C117" s="48"/>
      <c r="D117" s="572"/>
      <c r="E117" s="48"/>
    </row>
    <row r="118">
      <c r="A118" s="48"/>
      <c r="B118" s="395"/>
      <c r="C118" s="48"/>
      <c r="D118" s="572"/>
      <c r="E118" s="48"/>
    </row>
    <row r="119">
      <c r="A119" s="48"/>
      <c r="B119" s="395"/>
      <c r="C119" s="48"/>
      <c r="D119" s="572"/>
      <c r="E119" s="48"/>
    </row>
    <row r="120">
      <c r="A120" s="48"/>
      <c r="B120" s="395"/>
      <c r="C120" s="48"/>
      <c r="D120" s="572"/>
      <c r="E120" s="48"/>
    </row>
    <row r="121">
      <c r="A121" s="48"/>
      <c r="B121" s="395"/>
      <c r="C121" s="48"/>
      <c r="D121" s="572"/>
      <c r="E121" s="48"/>
    </row>
    <row r="122">
      <c r="A122" s="48"/>
      <c r="B122" s="395"/>
      <c r="C122" s="48"/>
      <c r="D122" s="572"/>
      <c r="E122" s="48"/>
    </row>
    <row r="123">
      <c r="A123" s="48"/>
      <c r="B123" s="395"/>
      <c r="C123" s="48"/>
      <c r="D123" s="572"/>
      <c r="E123" s="48"/>
    </row>
    <row r="124">
      <c r="A124" s="48"/>
      <c r="B124" s="395"/>
      <c r="C124" s="48"/>
      <c r="D124" s="572"/>
      <c r="E124" s="48"/>
    </row>
    <row r="125">
      <c r="A125" s="48"/>
      <c r="B125" s="395"/>
      <c r="C125" s="48"/>
      <c r="D125" s="572"/>
      <c r="E125" s="48"/>
    </row>
    <row r="126">
      <c r="A126" s="48"/>
      <c r="B126" s="395"/>
      <c r="C126" s="48"/>
      <c r="D126" s="572"/>
      <c r="E126" s="48"/>
    </row>
    <row r="127">
      <c r="A127" s="48"/>
      <c r="B127" s="395"/>
      <c r="C127" s="48"/>
      <c r="D127" s="572"/>
      <c r="E127" s="48"/>
    </row>
    <row r="128">
      <c r="A128" s="48"/>
      <c r="B128" s="395"/>
      <c r="C128" s="48"/>
      <c r="D128" s="572"/>
      <c r="E128" s="48"/>
    </row>
    <row r="129">
      <c r="A129" s="48"/>
      <c r="B129" s="395"/>
      <c r="C129" s="48"/>
      <c r="D129" s="572"/>
      <c r="E129" s="48"/>
    </row>
    <row r="130">
      <c r="A130" s="48"/>
      <c r="B130" s="395"/>
      <c r="C130" s="48"/>
      <c r="D130" s="572"/>
      <c r="E130" s="48"/>
    </row>
    <row r="131">
      <c r="A131" s="48"/>
      <c r="B131" s="395"/>
      <c r="C131" s="48"/>
      <c r="D131" s="572"/>
      <c r="E131" s="48"/>
    </row>
    <row r="132">
      <c r="A132" s="48"/>
      <c r="B132" s="395"/>
      <c r="C132" s="48"/>
      <c r="D132" s="572"/>
      <c r="E132" s="48"/>
    </row>
    <row r="133">
      <c r="A133" s="48"/>
      <c r="B133" s="395"/>
      <c r="C133" s="48"/>
      <c r="D133" s="572"/>
      <c r="E133" s="48"/>
    </row>
    <row r="134">
      <c r="A134" s="48"/>
      <c r="B134" s="395"/>
      <c r="C134" s="48"/>
      <c r="D134" s="572"/>
      <c r="E134" s="48"/>
    </row>
    <row r="135">
      <c r="A135" s="48"/>
      <c r="B135" s="395"/>
      <c r="C135" s="48"/>
      <c r="D135" s="572"/>
      <c r="E135" s="48"/>
    </row>
    <row r="136">
      <c r="A136" s="48"/>
      <c r="B136" s="395"/>
      <c r="C136" s="48"/>
      <c r="D136" s="572"/>
      <c r="E136" s="48"/>
    </row>
    <row r="137">
      <c r="A137" s="48"/>
      <c r="B137" s="395"/>
      <c r="C137" s="48"/>
      <c r="D137" s="572"/>
      <c r="E137" s="48"/>
    </row>
    <row r="138">
      <c r="A138" s="48"/>
      <c r="B138" s="395"/>
      <c r="C138" s="48"/>
      <c r="D138" s="572"/>
      <c r="E138" s="48"/>
    </row>
    <row r="139">
      <c r="A139" s="48"/>
      <c r="B139" s="395"/>
      <c r="C139" s="48"/>
      <c r="D139" s="572"/>
      <c r="E139" s="48"/>
    </row>
    <row r="140">
      <c r="A140" s="48"/>
      <c r="B140" s="395"/>
      <c r="C140" s="48"/>
      <c r="D140" s="572"/>
      <c r="E140" s="48"/>
    </row>
    <row r="141">
      <c r="A141" s="48"/>
      <c r="B141" s="395"/>
      <c r="C141" s="48"/>
      <c r="D141" s="572"/>
      <c r="E141" s="48"/>
    </row>
    <row r="142">
      <c r="A142" s="48"/>
      <c r="B142" s="395"/>
      <c r="C142" s="48"/>
      <c r="D142" s="572"/>
      <c r="E142" s="48"/>
    </row>
    <row r="143">
      <c r="A143" s="48"/>
      <c r="B143" s="395"/>
      <c r="C143" s="48"/>
      <c r="D143" s="572"/>
      <c r="E143" s="48"/>
    </row>
    <row r="144">
      <c r="A144" s="48"/>
      <c r="B144" s="395"/>
      <c r="C144" s="48"/>
      <c r="D144" s="572"/>
      <c r="E144" s="48"/>
    </row>
    <row r="145">
      <c r="A145" s="48"/>
      <c r="B145" s="395"/>
      <c r="C145" s="48"/>
      <c r="D145" s="572"/>
      <c r="E145" s="48"/>
    </row>
    <row r="146">
      <c r="A146" s="48"/>
      <c r="B146" s="395"/>
      <c r="C146" s="48"/>
      <c r="D146" s="572"/>
      <c r="E146" s="48"/>
    </row>
    <row r="147">
      <c r="A147" s="48"/>
      <c r="B147" s="395"/>
      <c r="C147" s="48"/>
      <c r="D147" s="572"/>
      <c r="E147" s="48"/>
    </row>
    <row r="148">
      <c r="A148" s="48"/>
      <c r="B148" s="395"/>
      <c r="C148" s="48"/>
      <c r="D148" s="572"/>
      <c r="E148" s="48"/>
    </row>
    <row r="149">
      <c r="A149" s="48"/>
      <c r="B149" s="395"/>
      <c r="C149" s="48"/>
      <c r="D149" s="572"/>
      <c r="E149" s="48"/>
    </row>
    <row r="150">
      <c r="A150" s="48"/>
      <c r="B150" s="395"/>
      <c r="C150" s="48"/>
      <c r="D150" s="572"/>
      <c r="E150" s="48"/>
    </row>
    <row r="151">
      <c r="A151" s="48"/>
      <c r="B151" s="395"/>
      <c r="C151" s="48"/>
      <c r="D151" s="572"/>
      <c r="E151" s="48"/>
    </row>
    <row r="152">
      <c r="A152" s="48"/>
      <c r="B152" s="395"/>
      <c r="C152" s="48"/>
      <c r="D152" s="572"/>
      <c r="E152" s="48"/>
    </row>
    <row r="153">
      <c r="A153" s="48"/>
      <c r="B153" s="395"/>
      <c r="C153" s="48"/>
      <c r="D153" s="572"/>
      <c r="E153" s="48"/>
    </row>
    <row r="154">
      <c r="A154" s="48"/>
      <c r="B154" s="395"/>
      <c r="C154" s="48"/>
      <c r="D154" s="572"/>
      <c r="E154" s="48"/>
    </row>
    <row r="155">
      <c r="A155" s="48"/>
      <c r="B155" s="395"/>
      <c r="C155" s="48"/>
      <c r="D155" s="572"/>
      <c r="E155" s="48"/>
    </row>
    <row r="156">
      <c r="A156" s="48"/>
      <c r="B156" s="395"/>
      <c r="C156" s="48"/>
      <c r="D156" s="572"/>
      <c r="E156" s="48"/>
    </row>
    <row r="157">
      <c r="A157" s="48"/>
      <c r="B157" s="395"/>
      <c r="C157" s="48"/>
      <c r="D157" s="572"/>
      <c r="E157" s="48"/>
    </row>
    <row r="158">
      <c r="A158" s="48"/>
      <c r="B158" s="395"/>
      <c r="C158" s="48"/>
      <c r="D158" s="572"/>
      <c r="E158" s="48"/>
    </row>
    <row r="159">
      <c r="A159" s="48"/>
      <c r="B159" s="395"/>
      <c r="C159" s="48"/>
      <c r="D159" s="572"/>
      <c r="E159" s="48"/>
    </row>
    <row r="160">
      <c r="A160" s="48"/>
      <c r="B160" s="395"/>
      <c r="C160" s="48"/>
      <c r="D160" s="572"/>
      <c r="E160" s="48"/>
    </row>
    <row r="161">
      <c r="A161" s="48"/>
      <c r="B161" s="395"/>
      <c r="C161" s="48"/>
      <c r="D161" s="572"/>
      <c r="E161" s="48"/>
    </row>
    <row r="162">
      <c r="A162" s="48"/>
      <c r="B162" s="395"/>
      <c r="C162" s="48"/>
      <c r="D162" s="572"/>
      <c r="E162" s="48"/>
    </row>
    <row r="163">
      <c r="A163" s="48"/>
      <c r="B163" s="395"/>
      <c r="C163" s="48"/>
      <c r="D163" s="572"/>
      <c r="E163" s="48"/>
    </row>
    <row r="164">
      <c r="A164" s="48"/>
      <c r="B164" s="395"/>
      <c r="C164" s="48"/>
      <c r="D164" s="572"/>
      <c r="E164" s="48"/>
    </row>
    <row r="165">
      <c r="A165" s="48"/>
      <c r="B165" s="395"/>
      <c r="C165" s="48"/>
      <c r="D165" s="572"/>
      <c r="E165" s="48"/>
    </row>
    <row r="166">
      <c r="A166" s="48"/>
      <c r="B166" s="395"/>
      <c r="C166" s="48"/>
      <c r="D166" s="572"/>
      <c r="E166" s="48"/>
    </row>
    <row r="167">
      <c r="A167" s="48"/>
      <c r="B167" s="395"/>
      <c r="C167" s="48"/>
      <c r="D167" s="572"/>
      <c r="E167" s="48"/>
    </row>
    <row r="168">
      <c r="A168" s="48"/>
      <c r="B168" s="395"/>
      <c r="C168" s="48"/>
      <c r="D168" s="572"/>
      <c r="E168" s="48"/>
    </row>
    <row r="169">
      <c r="A169" s="48"/>
      <c r="B169" s="395"/>
      <c r="C169" s="48"/>
      <c r="D169" s="572"/>
      <c r="E169" s="48"/>
    </row>
    <row r="170">
      <c r="A170" s="48"/>
      <c r="B170" s="395"/>
      <c r="C170" s="48"/>
      <c r="D170" s="572"/>
      <c r="E170" s="48"/>
    </row>
    <row r="171">
      <c r="A171" s="48"/>
      <c r="B171" s="395"/>
      <c r="C171" s="48"/>
      <c r="D171" s="572"/>
      <c r="E171" s="48"/>
    </row>
    <row r="172">
      <c r="A172" s="48"/>
      <c r="B172" s="395"/>
      <c r="C172" s="48"/>
      <c r="D172" s="572"/>
      <c r="E172" s="48"/>
    </row>
    <row r="173">
      <c r="A173" s="48"/>
      <c r="B173" s="395"/>
      <c r="C173" s="48"/>
      <c r="D173" s="572"/>
      <c r="E173" s="48"/>
    </row>
    <row r="174">
      <c r="A174" s="48"/>
      <c r="B174" s="395"/>
      <c r="C174" s="48"/>
      <c r="D174" s="572"/>
      <c r="E174" s="48"/>
    </row>
    <row r="175">
      <c r="A175" s="48"/>
      <c r="B175" s="395"/>
      <c r="C175" s="48"/>
      <c r="D175" s="572"/>
      <c r="E175" s="48"/>
    </row>
    <row r="176">
      <c r="A176" s="48"/>
      <c r="B176" s="395"/>
      <c r="C176" s="48"/>
      <c r="D176" s="572"/>
      <c r="E176" s="48"/>
    </row>
    <row r="177">
      <c r="A177" s="48"/>
      <c r="B177" s="395"/>
      <c r="C177" s="48"/>
      <c r="D177" s="572"/>
      <c r="E177" s="48"/>
    </row>
    <row r="178">
      <c r="A178" s="48"/>
      <c r="B178" s="395"/>
      <c r="C178" s="48"/>
      <c r="D178" s="572"/>
      <c r="E178" s="48"/>
    </row>
    <row r="179">
      <c r="A179" s="48"/>
      <c r="B179" s="395"/>
      <c r="C179" s="48"/>
      <c r="D179" s="572"/>
      <c r="E179" s="48"/>
    </row>
    <row r="180">
      <c r="A180" s="48"/>
      <c r="B180" s="395"/>
      <c r="C180" s="48"/>
      <c r="D180" s="572"/>
      <c r="E180" s="48"/>
    </row>
    <row r="181">
      <c r="A181" s="48"/>
      <c r="B181" s="395"/>
      <c r="C181" s="48"/>
      <c r="D181" s="572"/>
      <c r="E181" s="48"/>
    </row>
    <row r="182">
      <c r="A182" s="48"/>
      <c r="B182" s="395"/>
      <c r="C182" s="48"/>
      <c r="D182" s="572"/>
      <c r="E182" s="48"/>
    </row>
    <row r="183">
      <c r="A183" s="48"/>
      <c r="B183" s="395"/>
      <c r="C183" s="48"/>
      <c r="D183" s="572"/>
      <c r="E183" s="48"/>
    </row>
    <row r="184">
      <c r="A184" s="48"/>
      <c r="B184" s="395"/>
      <c r="C184" s="48"/>
      <c r="D184" s="572"/>
      <c r="E184" s="48"/>
    </row>
    <row r="185">
      <c r="A185" s="48"/>
      <c r="B185" s="395"/>
      <c r="C185" s="48"/>
      <c r="D185" s="572"/>
      <c r="E185" s="48"/>
    </row>
    <row r="186">
      <c r="A186" s="48"/>
      <c r="B186" s="395"/>
      <c r="C186" s="48"/>
      <c r="D186" s="572"/>
      <c r="E186" s="48"/>
    </row>
    <row r="187">
      <c r="A187" s="48"/>
      <c r="B187" s="395"/>
      <c r="C187" s="48"/>
      <c r="D187" s="572"/>
      <c r="E187" s="48"/>
    </row>
    <row r="188">
      <c r="A188" s="48"/>
      <c r="B188" s="395"/>
      <c r="C188" s="48"/>
      <c r="D188" s="572"/>
      <c r="E188" s="48"/>
    </row>
    <row r="189">
      <c r="A189" s="48"/>
      <c r="B189" s="395"/>
      <c r="C189" s="48"/>
      <c r="D189" s="572"/>
      <c r="E189" s="48"/>
    </row>
    <row r="190">
      <c r="A190" s="48"/>
      <c r="B190" s="395"/>
      <c r="C190" s="48"/>
      <c r="D190" s="572"/>
      <c r="E190" s="48"/>
    </row>
    <row r="191">
      <c r="A191" s="48"/>
      <c r="B191" s="395"/>
      <c r="C191" s="48"/>
      <c r="D191" s="572"/>
      <c r="E191" s="48"/>
    </row>
    <row r="192">
      <c r="A192" s="48"/>
      <c r="B192" s="395"/>
      <c r="C192" s="48"/>
      <c r="D192" s="572"/>
      <c r="E192" s="48"/>
    </row>
    <row r="193">
      <c r="A193" s="48"/>
      <c r="B193" s="395"/>
      <c r="C193" s="48"/>
      <c r="D193" s="572"/>
      <c r="E193" s="48"/>
    </row>
    <row r="194">
      <c r="A194" s="48"/>
      <c r="B194" s="395"/>
      <c r="C194" s="48"/>
      <c r="D194" s="572"/>
      <c r="E194" s="48"/>
    </row>
    <row r="195">
      <c r="A195" s="48"/>
      <c r="B195" s="395"/>
      <c r="C195" s="48"/>
      <c r="D195" s="572"/>
      <c r="E195" s="48"/>
    </row>
    <row r="196">
      <c r="A196" s="48"/>
      <c r="B196" s="395"/>
      <c r="C196" s="48"/>
      <c r="D196" s="572"/>
      <c r="E196" s="48"/>
    </row>
    <row r="197">
      <c r="A197" s="48"/>
      <c r="B197" s="395"/>
      <c r="C197" s="48"/>
      <c r="D197" s="572"/>
      <c r="E197" s="48"/>
    </row>
    <row r="198">
      <c r="A198" s="48"/>
      <c r="B198" s="395"/>
      <c r="C198" s="48"/>
      <c r="D198" s="572"/>
      <c r="E198" s="48"/>
    </row>
    <row r="199">
      <c r="A199" s="48"/>
      <c r="B199" s="395"/>
      <c r="C199" s="48"/>
      <c r="D199" s="572"/>
      <c r="E199" s="48"/>
    </row>
    <row r="200">
      <c r="A200" s="48"/>
      <c r="B200" s="395"/>
      <c r="C200" s="48"/>
      <c r="D200" s="572"/>
      <c r="E200" s="48"/>
    </row>
    <row r="201">
      <c r="A201" s="48"/>
      <c r="B201" s="395"/>
      <c r="C201" s="48"/>
      <c r="D201" s="572"/>
      <c r="E201" s="48"/>
    </row>
    <row r="202">
      <c r="A202" s="48"/>
      <c r="B202" s="395"/>
      <c r="C202" s="48"/>
      <c r="D202" s="572"/>
      <c r="E202" s="48"/>
    </row>
    <row r="203">
      <c r="A203" s="48"/>
      <c r="B203" s="395"/>
      <c r="C203" s="48"/>
      <c r="D203" s="572"/>
      <c r="E203" s="48"/>
    </row>
    <row r="204">
      <c r="A204" s="48"/>
      <c r="B204" s="395"/>
      <c r="C204" s="48"/>
      <c r="D204" s="572"/>
      <c r="E204" s="48"/>
    </row>
    <row r="205">
      <c r="A205" s="48"/>
      <c r="B205" s="395"/>
      <c r="C205" s="48"/>
      <c r="D205" s="572"/>
      <c r="E205" s="48"/>
    </row>
    <row r="206">
      <c r="A206" s="48"/>
      <c r="B206" s="395"/>
      <c r="C206" s="48"/>
      <c r="D206" s="572"/>
      <c r="E206" s="48"/>
    </row>
    <row r="207">
      <c r="A207" s="48"/>
      <c r="B207" s="395"/>
      <c r="C207" s="48"/>
      <c r="D207" s="572"/>
      <c r="E207" s="48"/>
    </row>
    <row r="208">
      <c r="A208" s="48"/>
      <c r="B208" s="395"/>
      <c r="C208" s="48"/>
      <c r="D208" s="572"/>
      <c r="E208" s="48"/>
    </row>
    <row r="209">
      <c r="A209" s="48"/>
      <c r="B209" s="395"/>
      <c r="C209" s="48"/>
      <c r="D209" s="572"/>
      <c r="E209" s="48"/>
    </row>
    <row r="210">
      <c r="A210" s="48"/>
      <c r="B210" s="395"/>
      <c r="C210" s="48"/>
      <c r="D210" s="572"/>
      <c r="E210" s="48"/>
    </row>
    <row r="211">
      <c r="A211" s="48"/>
      <c r="B211" s="395"/>
      <c r="C211" s="48"/>
      <c r="D211" s="572"/>
      <c r="E211" s="48"/>
    </row>
    <row r="212">
      <c r="A212" s="48"/>
      <c r="B212" s="395"/>
      <c r="C212" s="48"/>
      <c r="D212" s="572"/>
      <c r="E212" s="48"/>
    </row>
    <row r="213">
      <c r="A213" s="48"/>
      <c r="B213" s="395"/>
      <c r="C213" s="48"/>
      <c r="D213" s="572"/>
      <c r="E213" s="48"/>
    </row>
    <row r="214">
      <c r="A214" s="48"/>
      <c r="B214" s="395"/>
      <c r="C214" s="48"/>
      <c r="D214" s="572"/>
      <c r="E214" s="48"/>
    </row>
    <row r="215">
      <c r="A215" s="48"/>
      <c r="B215" s="395"/>
      <c r="C215" s="48"/>
      <c r="D215" s="572"/>
      <c r="E215" s="48"/>
    </row>
    <row r="216">
      <c r="A216" s="48"/>
      <c r="B216" s="395"/>
      <c r="C216" s="48"/>
      <c r="D216" s="572"/>
      <c r="E216" s="48"/>
    </row>
    <row r="217">
      <c r="A217" s="48"/>
      <c r="B217" s="395"/>
      <c r="C217" s="48"/>
      <c r="D217" s="572"/>
      <c r="E217" s="48"/>
    </row>
    <row r="218">
      <c r="A218" s="48"/>
      <c r="B218" s="395"/>
      <c r="C218" s="48"/>
      <c r="D218" s="572"/>
      <c r="E218" s="48"/>
    </row>
    <row r="219">
      <c r="A219" s="48"/>
      <c r="B219" s="395"/>
      <c r="C219" s="48"/>
      <c r="D219" s="572"/>
      <c r="E219" s="48"/>
    </row>
    <row r="220">
      <c r="A220" s="48"/>
      <c r="B220" s="395"/>
      <c r="C220" s="48"/>
      <c r="D220" s="572"/>
      <c r="E220" s="48"/>
    </row>
    <row r="221">
      <c r="A221" s="48"/>
      <c r="B221" s="395"/>
      <c r="C221" s="48"/>
      <c r="D221" s="572"/>
      <c r="E221" s="48"/>
    </row>
    <row r="222">
      <c r="A222" s="48"/>
      <c r="B222" s="395"/>
      <c r="C222" s="48"/>
      <c r="D222" s="572"/>
      <c r="E222" s="48"/>
    </row>
    <row r="223">
      <c r="A223" s="48"/>
      <c r="B223" s="395"/>
      <c r="C223" s="48"/>
      <c r="D223" s="572"/>
      <c r="E223" s="48"/>
    </row>
    <row r="224">
      <c r="A224" s="48"/>
      <c r="B224" s="395"/>
      <c r="C224" s="48"/>
      <c r="D224" s="572"/>
      <c r="E224" s="48"/>
    </row>
    <row r="225">
      <c r="A225" s="48"/>
      <c r="B225" s="395"/>
      <c r="C225" s="48"/>
      <c r="D225" s="572"/>
      <c r="E225" s="48"/>
    </row>
    <row r="226">
      <c r="A226" s="48"/>
      <c r="B226" s="395"/>
      <c r="C226" s="48"/>
      <c r="D226" s="572"/>
      <c r="E226" s="48"/>
    </row>
    <row r="227">
      <c r="A227" s="48"/>
      <c r="B227" s="395"/>
      <c r="C227" s="48"/>
      <c r="D227" s="572"/>
      <c r="E227" s="48"/>
    </row>
    <row r="228">
      <c r="A228" s="48"/>
      <c r="B228" s="395"/>
      <c r="C228" s="48"/>
      <c r="D228" s="572"/>
      <c r="E228" s="48"/>
    </row>
    <row r="229">
      <c r="A229" s="48"/>
      <c r="B229" s="395"/>
      <c r="C229" s="48"/>
      <c r="D229" s="572"/>
      <c r="E229" s="48"/>
    </row>
    <row r="230">
      <c r="A230" s="48"/>
      <c r="B230" s="395"/>
      <c r="C230" s="48"/>
      <c r="D230" s="572"/>
      <c r="E230" s="48"/>
    </row>
    <row r="231">
      <c r="A231" s="48"/>
      <c r="B231" s="395"/>
      <c r="C231" s="48"/>
      <c r="D231" s="572"/>
      <c r="E231" s="48"/>
    </row>
    <row r="232">
      <c r="A232" s="48"/>
      <c r="B232" s="395"/>
      <c r="C232" s="48"/>
      <c r="D232" s="572"/>
      <c r="E232" s="48"/>
    </row>
    <row r="233">
      <c r="A233" s="48"/>
      <c r="B233" s="395"/>
      <c r="C233" s="48"/>
      <c r="D233" s="572"/>
      <c r="E233" s="48"/>
    </row>
    <row r="234">
      <c r="A234" s="48"/>
      <c r="B234" s="395"/>
      <c r="C234" s="48"/>
      <c r="D234" s="572"/>
      <c r="E234" s="48"/>
    </row>
    <row r="235">
      <c r="A235" s="48"/>
      <c r="B235" s="395"/>
      <c r="C235" s="48"/>
      <c r="D235" s="572"/>
      <c r="E235" s="48"/>
    </row>
    <row r="236">
      <c r="A236" s="48"/>
      <c r="B236" s="395"/>
      <c r="C236" s="48"/>
      <c r="D236" s="572"/>
      <c r="E236" s="48"/>
    </row>
    <row r="237">
      <c r="A237" s="48"/>
      <c r="B237" s="395"/>
      <c r="C237" s="48"/>
      <c r="D237" s="572"/>
      <c r="E237" s="48"/>
    </row>
    <row r="238">
      <c r="A238" s="48"/>
      <c r="B238" s="395"/>
      <c r="C238" s="48"/>
      <c r="D238" s="572"/>
      <c r="E238" s="48"/>
    </row>
    <row r="239">
      <c r="A239" s="48"/>
      <c r="B239" s="395"/>
      <c r="C239" s="48"/>
      <c r="D239" s="572"/>
      <c r="E239" s="48"/>
    </row>
    <row r="240">
      <c r="A240" s="48"/>
      <c r="B240" s="395"/>
      <c r="C240" s="48"/>
      <c r="D240" s="572"/>
      <c r="E240" s="48"/>
    </row>
    <row r="241">
      <c r="A241" s="48"/>
      <c r="B241" s="395"/>
      <c r="C241" s="48"/>
      <c r="D241" s="572"/>
      <c r="E241" s="48"/>
    </row>
    <row r="242">
      <c r="A242" s="48"/>
      <c r="B242" s="395"/>
      <c r="C242" s="48"/>
      <c r="D242" s="572"/>
      <c r="E242" s="48"/>
    </row>
    <row r="243">
      <c r="A243" s="48"/>
      <c r="B243" s="395"/>
      <c r="C243" s="48"/>
      <c r="D243" s="572"/>
      <c r="E243" s="48"/>
    </row>
    <row r="244">
      <c r="A244" s="48"/>
      <c r="B244" s="395"/>
      <c r="C244" s="48"/>
      <c r="D244" s="572"/>
      <c r="E244" s="48"/>
    </row>
    <row r="245">
      <c r="A245" s="48"/>
      <c r="B245" s="395"/>
      <c r="C245" s="48"/>
      <c r="D245" s="572"/>
      <c r="E245" s="48"/>
    </row>
    <row r="246">
      <c r="A246" s="48"/>
      <c r="B246" s="395"/>
      <c r="C246" s="48"/>
      <c r="D246" s="572"/>
      <c r="E246" s="48"/>
    </row>
    <row r="247">
      <c r="A247" s="48"/>
      <c r="B247" s="395"/>
      <c r="C247" s="48"/>
      <c r="D247" s="572"/>
      <c r="E247" s="48"/>
    </row>
    <row r="248">
      <c r="A248" s="48"/>
      <c r="B248" s="395"/>
      <c r="C248" s="48"/>
      <c r="D248" s="572"/>
      <c r="E248" s="48"/>
    </row>
    <row r="249">
      <c r="A249" s="48"/>
      <c r="B249" s="395"/>
      <c r="C249" s="48"/>
      <c r="D249" s="572"/>
      <c r="E249" s="48"/>
    </row>
    <row r="250">
      <c r="A250" s="48"/>
      <c r="B250" s="395"/>
      <c r="C250" s="48"/>
      <c r="D250" s="572"/>
      <c r="E250" s="48"/>
    </row>
    <row r="251">
      <c r="A251" s="48"/>
      <c r="B251" s="395"/>
      <c r="C251" s="48"/>
      <c r="D251" s="572"/>
      <c r="E251" s="48"/>
    </row>
    <row r="252">
      <c r="A252" s="48"/>
      <c r="B252" s="395"/>
      <c r="C252" s="48"/>
      <c r="D252" s="572"/>
      <c r="E252" s="48"/>
    </row>
    <row r="253">
      <c r="A253" s="48"/>
      <c r="B253" s="395"/>
      <c r="C253" s="48"/>
      <c r="D253" s="572"/>
      <c r="E253" s="48"/>
    </row>
    <row r="254">
      <c r="A254" s="48"/>
      <c r="B254" s="395"/>
      <c r="C254" s="48"/>
      <c r="D254" s="572"/>
      <c r="E254" s="48"/>
    </row>
    <row r="255">
      <c r="A255" s="48"/>
      <c r="B255" s="395"/>
      <c r="C255" s="48"/>
      <c r="D255" s="572"/>
      <c r="E255" s="48"/>
    </row>
    <row r="256">
      <c r="A256" s="48"/>
      <c r="B256" s="395"/>
      <c r="C256" s="48"/>
      <c r="D256" s="572"/>
      <c r="E256" s="48"/>
    </row>
    <row r="257">
      <c r="A257" s="48"/>
      <c r="B257" s="395"/>
      <c r="C257" s="48"/>
      <c r="D257" s="572"/>
      <c r="E257" s="48"/>
    </row>
    <row r="258">
      <c r="A258" s="48"/>
      <c r="B258" s="395"/>
      <c r="C258" s="48"/>
      <c r="D258" s="572"/>
      <c r="E258" s="48"/>
    </row>
    <row r="259">
      <c r="A259" s="48"/>
      <c r="B259" s="395"/>
      <c r="C259" s="48"/>
      <c r="D259" s="572"/>
      <c r="E259" s="48"/>
    </row>
    <row r="260">
      <c r="A260" s="48"/>
      <c r="B260" s="395"/>
      <c r="C260" s="48"/>
      <c r="D260" s="572"/>
      <c r="E260" s="48"/>
    </row>
    <row r="261">
      <c r="A261" s="48"/>
      <c r="B261" s="395"/>
      <c r="C261" s="48"/>
      <c r="D261" s="572"/>
      <c r="E261" s="48"/>
    </row>
    <row r="262">
      <c r="A262" s="48"/>
      <c r="B262" s="395"/>
      <c r="C262" s="48"/>
      <c r="D262" s="572"/>
      <c r="E262" s="48"/>
    </row>
    <row r="263">
      <c r="A263" s="48"/>
      <c r="B263" s="395"/>
      <c r="C263" s="48"/>
      <c r="D263" s="572"/>
      <c r="E263" s="48"/>
    </row>
    <row r="264">
      <c r="A264" s="48"/>
      <c r="B264" s="395"/>
      <c r="C264" s="48"/>
      <c r="D264" s="572"/>
      <c r="E264" s="48"/>
    </row>
    <row r="265">
      <c r="A265" s="48"/>
      <c r="B265" s="395"/>
      <c r="C265" s="48"/>
      <c r="D265" s="572"/>
      <c r="E265" s="48"/>
    </row>
    <row r="266">
      <c r="A266" s="48"/>
      <c r="B266" s="395"/>
      <c r="C266" s="48"/>
      <c r="D266" s="572"/>
      <c r="E266" s="48"/>
    </row>
    <row r="267">
      <c r="A267" s="48"/>
      <c r="B267" s="395"/>
      <c r="C267" s="48"/>
      <c r="D267" s="572"/>
      <c r="E267" s="48"/>
    </row>
    <row r="268">
      <c r="A268" s="48"/>
      <c r="B268" s="395"/>
      <c r="C268" s="48"/>
      <c r="D268" s="572"/>
      <c r="E268" s="48"/>
    </row>
    <row r="269">
      <c r="A269" s="48"/>
      <c r="B269" s="395"/>
      <c r="C269" s="48"/>
      <c r="D269" s="572"/>
      <c r="E269" s="48"/>
    </row>
    <row r="270">
      <c r="A270" s="48"/>
      <c r="B270" s="395"/>
      <c r="C270" s="48"/>
      <c r="D270" s="572"/>
      <c r="E270" s="48"/>
    </row>
    <row r="271">
      <c r="A271" s="48"/>
      <c r="B271" s="395"/>
      <c r="C271" s="48"/>
      <c r="D271" s="572"/>
      <c r="E271" s="48"/>
    </row>
    <row r="272">
      <c r="A272" s="48"/>
      <c r="B272" s="395"/>
      <c r="C272" s="48"/>
      <c r="D272" s="572"/>
      <c r="E272" s="48"/>
    </row>
    <row r="273">
      <c r="A273" s="48"/>
      <c r="B273" s="395"/>
      <c r="C273" s="48"/>
      <c r="D273" s="572"/>
      <c r="E273" s="48"/>
    </row>
    <row r="274">
      <c r="A274" s="48"/>
      <c r="B274" s="395"/>
      <c r="C274" s="48"/>
      <c r="D274" s="572"/>
      <c r="E274" s="48"/>
    </row>
    <row r="275">
      <c r="A275" s="48"/>
      <c r="B275" s="395"/>
      <c r="C275" s="48"/>
      <c r="D275" s="572"/>
      <c r="E275" s="48"/>
    </row>
    <row r="276">
      <c r="A276" s="48"/>
      <c r="B276" s="395"/>
      <c r="C276" s="48"/>
      <c r="D276" s="572"/>
      <c r="E276" s="48"/>
    </row>
    <row r="277">
      <c r="A277" s="48"/>
      <c r="B277" s="395"/>
      <c r="C277" s="48"/>
      <c r="D277" s="572"/>
      <c r="E277" s="48"/>
    </row>
    <row r="278">
      <c r="A278" s="48"/>
      <c r="B278" s="395"/>
      <c r="C278" s="48"/>
      <c r="D278" s="572"/>
      <c r="E278" s="48"/>
    </row>
    <row r="279">
      <c r="A279" s="48"/>
      <c r="B279" s="395"/>
      <c r="C279" s="48"/>
      <c r="D279" s="572"/>
      <c r="E279" s="48"/>
    </row>
    <row r="280">
      <c r="A280" s="48"/>
      <c r="B280" s="395"/>
      <c r="C280" s="48"/>
      <c r="D280" s="572"/>
      <c r="E280" s="48"/>
    </row>
    <row r="281">
      <c r="A281" s="48"/>
      <c r="B281" s="395"/>
      <c r="C281" s="48"/>
      <c r="D281" s="572"/>
      <c r="E281" s="48"/>
    </row>
    <row r="282">
      <c r="A282" s="48"/>
      <c r="B282" s="395"/>
      <c r="C282" s="48"/>
      <c r="D282" s="572"/>
      <c r="E282" s="48"/>
    </row>
    <row r="283">
      <c r="A283" s="48"/>
      <c r="B283" s="395"/>
      <c r="C283" s="48"/>
      <c r="D283" s="572"/>
      <c r="E283" s="48"/>
    </row>
    <row r="284">
      <c r="A284" s="48"/>
      <c r="B284" s="395"/>
      <c r="C284" s="48"/>
      <c r="D284" s="572"/>
      <c r="E284" s="48"/>
    </row>
    <row r="285">
      <c r="A285" s="48"/>
      <c r="B285" s="395"/>
      <c r="C285" s="48"/>
      <c r="D285" s="572"/>
      <c r="E285" s="48"/>
    </row>
    <row r="286">
      <c r="A286" s="48"/>
      <c r="B286" s="395"/>
      <c r="C286" s="48"/>
      <c r="D286" s="572"/>
      <c r="E286" s="48"/>
    </row>
    <row r="287">
      <c r="A287" s="48"/>
      <c r="B287" s="395"/>
      <c r="C287" s="48"/>
      <c r="D287" s="572"/>
      <c r="E287" s="48"/>
    </row>
    <row r="288">
      <c r="A288" s="48"/>
      <c r="B288" s="395"/>
      <c r="C288" s="48"/>
      <c r="D288" s="572"/>
      <c r="E288" s="48"/>
    </row>
    <row r="289">
      <c r="A289" s="48"/>
      <c r="B289" s="395"/>
      <c r="C289" s="48"/>
      <c r="D289" s="572"/>
      <c r="E289" s="48"/>
    </row>
    <row r="290">
      <c r="A290" s="48"/>
      <c r="B290" s="395"/>
      <c r="C290" s="48"/>
      <c r="D290" s="572"/>
      <c r="E290" s="48"/>
    </row>
    <row r="291">
      <c r="A291" s="48"/>
      <c r="B291" s="395"/>
      <c r="C291" s="48"/>
      <c r="D291" s="572"/>
      <c r="E291" s="48"/>
    </row>
    <row r="292">
      <c r="A292" s="48"/>
      <c r="B292" s="395"/>
      <c r="C292" s="48"/>
      <c r="D292" s="572"/>
      <c r="E292" s="48"/>
    </row>
    <row r="293">
      <c r="A293" s="48"/>
      <c r="B293" s="395"/>
      <c r="C293" s="48"/>
      <c r="D293" s="572"/>
      <c r="E293" s="48"/>
    </row>
    <row r="294">
      <c r="A294" s="48"/>
      <c r="B294" s="395"/>
      <c r="C294" s="48"/>
      <c r="D294" s="572"/>
      <c r="E294" s="48"/>
    </row>
    <row r="295">
      <c r="A295" s="48"/>
      <c r="B295" s="395"/>
      <c r="C295" s="48"/>
      <c r="D295" s="572"/>
      <c r="E295" s="48"/>
    </row>
    <row r="296">
      <c r="A296" s="48"/>
      <c r="B296" s="395"/>
      <c r="C296" s="48"/>
      <c r="D296" s="572"/>
      <c r="E296" s="48"/>
    </row>
    <row r="297">
      <c r="A297" s="48"/>
      <c r="B297" s="395"/>
      <c r="C297" s="48"/>
      <c r="D297" s="572"/>
      <c r="E297" s="48"/>
    </row>
    <row r="298">
      <c r="A298" s="48"/>
      <c r="B298" s="395"/>
      <c r="C298" s="48"/>
      <c r="D298" s="572"/>
      <c r="E298" s="48"/>
    </row>
    <row r="299">
      <c r="A299" s="48"/>
      <c r="B299" s="395"/>
      <c r="C299" s="48"/>
      <c r="D299" s="572"/>
      <c r="E299" s="48"/>
    </row>
    <row r="300">
      <c r="A300" s="48"/>
      <c r="B300" s="395"/>
      <c r="C300" s="48"/>
      <c r="D300" s="572"/>
      <c r="E300" s="48"/>
    </row>
    <row r="301">
      <c r="A301" s="48"/>
      <c r="B301" s="395"/>
      <c r="C301" s="48"/>
      <c r="D301" s="572"/>
      <c r="E301" s="48"/>
    </row>
    <row r="302">
      <c r="A302" s="48"/>
      <c r="B302" s="395"/>
      <c r="C302" s="48"/>
      <c r="D302" s="572"/>
      <c r="E302" s="48"/>
    </row>
    <row r="303">
      <c r="A303" s="48"/>
      <c r="B303" s="395"/>
      <c r="C303" s="48"/>
      <c r="D303" s="572"/>
      <c r="E303" s="48"/>
    </row>
    <row r="304">
      <c r="A304" s="48"/>
      <c r="B304" s="395"/>
      <c r="C304" s="48"/>
      <c r="D304" s="572"/>
      <c r="E304" s="48"/>
    </row>
    <row r="305">
      <c r="A305" s="48"/>
      <c r="B305" s="395"/>
      <c r="C305" s="48"/>
      <c r="D305" s="572"/>
      <c r="E305" s="48"/>
    </row>
    <row r="306">
      <c r="A306" s="48"/>
      <c r="B306" s="395"/>
      <c r="C306" s="48"/>
      <c r="D306" s="572"/>
      <c r="E306" s="48"/>
    </row>
    <row r="307">
      <c r="A307" s="48"/>
      <c r="B307" s="395"/>
      <c r="C307" s="48"/>
      <c r="D307" s="572"/>
      <c r="E307" s="48"/>
    </row>
    <row r="308">
      <c r="A308" s="48"/>
      <c r="B308" s="395"/>
      <c r="C308" s="48"/>
      <c r="D308" s="572"/>
      <c r="E308" s="48"/>
    </row>
    <row r="309">
      <c r="A309" s="48"/>
      <c r="B309" s="395"/>
      <c r="C309" s="48"/>
      <c r="D309" s="572"/>
      <c r="E309" s="48"/>
    </row>
    <row r="310">
      <c r="A310" s="48"/>
      <c r="B310" s="395"/>
      <c r="C310" s="48"/>
      <c r="D310" s="572"/>
      <c r="E310" s="48"/>
    </row>
    <row r="311">
      <c r="A311" s="48"/>
      <c r="B311" s="395"/>
      <c r="C311" s="48"/>
      <c r="D311" s="572"/>
      <c r="E311" s="48"/>
    </row>
    <row r="312">
      <c r="A312" s="48"/>
      <c r="B312" s="395"/>
      <c r="C312" s="48"/>
      <c r="D312" s="572"/>
      <c r="E312" s="48"/>
    </row>
    <row r="313">
      <c r="A313" s="48"/>
      <c r="B313" s="395"/>
      <c r="C313" s="48"/>
      <c r="D313" s="572"/>
      <c r="E313" s="48"/>
    </row>
    <row r="314">
      <c r="A314" s="48"/>
      <c r="B314" s="395"/>
      <c r="C314" s="48"/>
      <c r="D314" s="572"/>
      <c r="E314" s="48"/>
    </row>
    <row r="315">
      <c r="A315" s="48"/>
      <c r="B315" s="395"/>
      <c r="C315" s="48"/>
      <c r="D315" s="572"/>
      <c r="E315" s="48"/>
    </row>
    <row r="316">
      <c r="A316" s="48"/>
      <c r="B316" s="395"/>
      <c r="C316" s="48"/>
      <c r="D316" s="572"/>
      <c r="E316" s="48"/>
    </row>
    <row r="317">
      <c r="A317" s="48"/>
      <c r="B317" s="395"/>
      <c r="C317" s="48"/>
      <c r="D317" s="572"/>
      <c r="E317" s="48"/>
    </row>
    <row r="318">
      <c r="A318" s="48"/>
      <c r="B318" s="395"/>
      <c r="C318" s="48"/>
      <c r="D318" s="572"/>
      <c r="E318" s="48"/>
    </row>
    <row r="319">
      <c r="A319" s="48"/>
      <c r="B319" s="395"/>
      <c r="C319" s="48"/>
      <c r="D319" s="572"/>
      <c r="E319" s="48"/>
    </row>
    <row r="320">
      <c r="A320" s="48"/>
      <c r="B320" s="395"/>
      <c r="C320" s="48"/>
      <c r="D320" s="572"/>
      <c r="E320" s="48"/>
    </row>
    <row r="321">
      <c r="A321" s="48"/>
      <c r="B321" s="395"/>
      <c r="C321" s="48"/>
      <c r="D321" s="572"/>
      <c r="E321" s="48"/>
    </row>
    <row r="322">
      <c r="A322" s="48"/>
      <c r="B322" s="395"/>
      <c r="C322" s="48"/>
      <c r="D322" s="572"/>
      <c r="E322" s="48"/>
    </row>
    <row r="323">
      <c r="A323" s="48"/>
      <c r="B323" s="395"/>
      <c r="C323" s="48"/>
      <c r="D323" s="572"/>
      <c r="E323" s="48"/>
    </row>
    <row r="324">
      <c r="A324" s="48"/>
      <c r="B324" s="395"/>
      <c r="C324" s="48"/>
      <c r="D324" s="572"/>
      <c r="E324" s="48"/>
    </row>
    <row r="325">
      <c r="A325" s="48"/>
      <c r="B325" s="395"/>
      <c r="C325" s="48"/>
      <c r="D325" s="572"/>
      <c r="E325" s="48"/>
    </row>
    <row r="326">
      <c r="A326" s="48"/>
      <c r="B326" s="395"/>
      <c r="C326" s="48"/>
      <c r="D326" s="572"/>
      <c r="E326" s="48"/>
    </row>
    <row r="327">
      <c r="A327" s="48"/>
      <c r="B327" s="395"/>
      <c r="C327" s="48"/>
      <c r="D327" s="572"/>
      <c r="E327" s="48"/>
    </row>
    <row r="328">
      <c r="A328" s="48"/>
      <c r="B328" s="395"/>
      <c r="C328" s="48"/>
      <c r="D328" s="572"/>
      <c r="E328" s="48"/>
    </row>
    <row r="329">
      <c r="A329" s="48"/>
      <c r="B329" s="395"/>
      <c r="C329" s="48"/>
      <c r="D329" s="572"/>
      <c r="E329" s="48"/>
    </row>
    <row r="330">
      <c r="A330" s="48"/>
      <c r="B330" s="395"/>
      <c r="C330" s="48"/>
      <c r="D330" s="572"/>
      <c r="E330" s="48"/>
    </row>
    <row r="331">
      <c r="A331" s="48"/>
      <c r="B331" s="395"/>
      <c r="C331" s="48"/>
      <c r="D331" s="572"/>
      <c r="E331" s="48"/>
    </row>
    <row r="332">
      <c r="A332" s="48"/>
      <c r="B332" s="395"/>
      <c r="C332" s="48"/>
      <c r="D332" s="572"/>
      <c r="E332" s="48"/>
    </row>
    <row r="333">
      <c r="A333" s="48"/>
      <c r="B333" s="395"/>
      <c r="C333" s="48"/>
      <c r="D333" s="572"/>
      <c r="E333" s="48"/>
    </row>
    <row r="334">
      <c r="A334" s="48"/>
      <c r="B334" s="395"/>
      <c r="C334" s="48"/>
      <c r="D334" s="572"/>
      <c r="E334" s="48"/>
    </row>
    <row r="335">
      <c r="A335" s="48"/>
      <c r="B335" s="395"/>
      <c r="C335" s="48"/>
      <c r="D335" s="572"/>
      <c r="E335" s="48"/>
    </row>
    <row r="336">
      <c r="A336" s="48"/>
      <c r="B336" s="395"/>
      <c r="C336" s="48"/>
      <c r="D336" s="572"/>
      <c r="E336" s="48"/>
    </row>
    <row r="337">
      <c r="A337" s="48"/>
      <c r="B337" s="395"/>
      <c r="C337" s="48"/>
      <c r="D337" s="572"/>
      <c r="E337" s="48"/>
    </row>
    <row r="338">
      <c r="A338" s="48"/>
      <c r="B338" s="395"/>
      <c r="C338" s="48"/>
      <c r="D338" s="572"/>
      <c r="E338" s="48"/>
    </row>
    <row r="339">
      <c r="A339" s="48"/>
      <c r="B339" s="395"/>
      <c r="C339" s="48"/>
      <c r="D339" s="572"/>
      <c r="E339" s="48"/>
    </row>
    <row r="340">
      <c r="A340" s="48"/>
      <c r="B340" s="395"/>
      <c r="C340" s="48"/>
      <c r="D340" s="572"/>
      <c r="E340" s="48"/>
    </row>
    <row r="341">
      <c r="A341" s="48"/>
      <c r="B341" s="395"/>
      <c r="C341" s="48"/>
      <c r="D341" s="572"/>
      <c r="E341" s="48"/>
    </row>
    <row r="342">
      <c r="A342" s="48"/>
      <c r="B342" s="395"/>
      <c r="C342" s="48"/>
      <c r="D342" s="572"/>
      <c r="E342" s="48"/>
    </row>
    <row r="343">
      <c r="A343" s="48"/>
      <c r="B343" s="395"/>
      <c r="C343" s="48"/>
      <c r="D343" s="572"/>
      <c r="E343" s="48"/>
    </row>
    <row r="344">
      <c r="A344" s="48"/>
      <c r="B344" s="395"/>
      <c r="C344" s="48"/>
      <c r="D344" s="572"/>
      <c r="E344" s="48"/>
    </row>
    <row r="345">
      <c r="A345" s="48"/>
      <c r="B345" s="395"/>
      <c r="C345" s="48"/>
      <c r="D345" s="572"/>
      <c r="E345" s="48"/>
    </row>
    <row r="346">
      <c r="A346" s="48"/>
      <c r="B346" s="395"/>
      <c r="C346" s="48"/>
      <c r="D346" s="572"/>
      <c r="E346" s="48"/>
    </row>
    <row r="347">
      <c r="A347" s="48"/>
      <c r="B347" s="395"/>
      <c r="C347" s="48"/>
      <c r="D347" s="572"/>
      <c r="E347" s="48"/>
    </row>
    <row r="348">
      <c r="A348" s="48"/>
      <c r="B348" s="395"/>
      <c r="C348" s="48"/>
      <c r="D348" s="572"/>
      <c r="E348" s="48"/>
    </row>
    <row r="349">
      <c r="A349" s="48"/>
      <c r="B349" s="395"/>
      <c r="C349" s="48"/>
      <c r="D349" s="572"/>
      <c r="E349" s="48"/>
    </row>
    <row r="350">
      <c r="A350" s="48"/>
      <c r="B350" s="395"/>
      <c r="C350" s="48"/>
      <c r="D350" s="572"/>
      <c r="E350" s="48"/>
    </row>
    <row r="351">
      <c r="A351" s="48"/>
      <c r="B351" s="395"/>
      <c r="C351" s="48"/>
      <c r="D351" s="572"/>
      <c r="E351" s="48"/>
    </row>
    <row r="352">
      <c r="A352" s="48"/>
      <c r="B352" s="395"/>
      <c r="C352" s="48"/>
      <c r="D352" s="572"/>
      <c r="E352" s="48"/>
    </row>
    <row r="353">
      <c r="A353" s="48"/>
      <c r="B353" s="395"/>
      <c r="C353" s="48"/>
      <c r="D353" s="572"/>
      <c r="E353" s="48"/>
    </row>
    <row r="354">
      <c r="A354" s="48"/>
      <c r="B354" s="395"/>
      <c r="C354" s="48"/>
      <c r="D354" s="572"/>
      <c r="E354" s="48"/>
    </row>
    <row r="355">
      <c r="A355" s="48"/>
      <c r="B355" s="395"/>
      <c r="C355" s="48"/>
      <c r="D355" s="572"/>
      <c r="E355" s="48"/>
    </row>
    <row r="356">
      <c r="A356" s="48"/>
      <c r="B356" s="395"/>
      <c r="C356" s="48"/>
      <c r="D356" s="572"/>
      <c r="E356" s="48"/>
    </row>
    <row r="357">
      <c r="A357" s="48"/>
      <c r="B357" s="395"/>
      <c r="C357" s="48"/>
      <c r="D357" s="572"/>
      <c r="E357" s="48"/>
    </row>
    <row r="358">
      <c r="A358" s="48"/>
      <c r="B358" s="395"/>
      <c r="C358" s="48"/>
      <c r="D358" s="572"/>
      <c r="E358" s="48"/>
    </row>
    <row r="359">
      <c r="A359" s="48"/>
      <c r="B359" s="395"/>
      <c r="C359" s="48"/>
      <c r="D359" s="572"/>
      <c r="E359" s="48"/>
    </row>
    <row r="360">
      <c r="A360" s="48"/>
      <c r="B360" s="395"/>
      <c r="C360" s="48"/>
      <c r="D360" s="572"/>
      <c r="E360" s="48"/>
    </row>
    <row r="361">
      <c r="A361" s="48"/>
      <c r="B361" s="395"/>
      <c r="C361" s="48"/>
      <c r="D361" s="572"/>
      <c r="E361" s="48"/>
    </row>
    <row r="362">
      <c r="A362" s="48"/>
      <c r="B362" s="395"/>
      <c r="C362" s="48"/>
      <c r="D362" s="572"/>
      <c r="E362" s="48"/>
    </row>
    <row r="363">
      <c r="A363" s="48"/>
      <c r="B363" s="395"/>
      <c r="C363" s="48"/>
      <c r="D363" s="572"/>
      <c r="E363" s="48"/>
    </row>
    <row r="364">
      <c r="A364" s="48"/>
      <c r="B364" s="395"/>
      <c r="C364" s="48"/>
      <c r="D364" s="572"/>
      <c r="E364" s="48"/>
    </row>
    <row r="365">
      <c r="A365" s="48"/>
      <c r="B365" s="395"/>
      <c r="C365" s="48"/>
      <c r="D365" s="572"/>
      <c r="E365" s="48"/>
    </row>
    <row r="366">
      <c r="A366" s="48"/>
      <c r="B366" s="395"/>
      <c r="C366" s="48"/>
      <c r="D366" s="572"/>
      <c r="E366" s="48"/>
    </row>
    <row r="367">
      <c r="A367" s="48"/>
      <c r="B367" s="395"/>
      <c r="C367" s="48"/>
      <c r="D367" s="572"/>
      <c r="E367" s="48"/>
    </row>
    <row r="368">
      <c r="A368" s="48"/>
      <c r="B368" s="395"/>
      <c r="C368" s="48"/>
      <c r="D368" s="572"/>
      <c r="E368" s="48"/>
    </row>
    <row r="369">
      <c r="A369" s="48"/>
      <c r="B369" s="395"/>
      <c r="C369" s="48"/>
      <c r="D369" s="572"/>
      <c r="E369" s="48"/>
    </row>
    <row r="370">
      <c r="A370" s="48"/>
      <c r="B370" s="395"/>
      <c r="C370" s="48"/>
      <c r="D370" s="572"/>
      <c r="E370" s="48"/>
    </row>
    <row r="371">
      <c r="A371" s="48"/>
      <c r="B371" s="395"/>
      <c r="C371" s="48"/>
      <c r="D371" s="572"/>
      <c r="E371" s="48"/>
    </row>
    <row r="372">
      <c r="A372" s="48"/>
      <c r="B372" s="395"/>
      <c r="C372" s="48"/>
      <c r="D372" s="572"/>
      <c r="E372" s="48"/>
    </row>
    <row r="373">
      <c r="A373" s="48"/>
      <c r="B373" s="395"/>
      <c r="C373" s="48"/>
      <c r="D373" s="572"/>
      <c r="E373" s="48"/>
    </row>
    <row r="374">
      <c r="A374" s="48"/>
      <c r="B374" s="395"/>
      <c r="C374" s="48"/>
      <c r="D374" s="572"/>
      <c r="E374" s="48"/>
    </row>
    <row r="375">
      <c r="A375" s="48"/>
      <c r="B375" s="395"/>
      <c r="C375" s="48"/>
      <c r="D375" s="572"/>
      <c r="E375" s="48"/>
    </row>
    <row r="376">
      <c r="A376" s="48"/>
      <c r="B376" s="395"/>
      <c r="C376" s="48"/>
      <c r="D376" s="572"/>
      <c r="E376" s="48"/>
    </row>
    <row r="377">
      <c r="A377" s="48"/>
      <c r="B377" s="395"/>
      <c r="C377" s="48"/>
      <c r="D377" s="572"/>
      <c r="E377" s="48"/>
    </row>
    <row r="378">
      <c r="A378" s="48"/>
      <c r="B378" s="395"/>
      <c r="C378" s="48"/>
      <c r="D378" s="572"/>
      <c r="E378" s="48"/>
    </row>
    <row r="379">
      <c r="A379" s="48"/>
      <c r="B379" s="395"/>
      <c r="C379" s="48"/>
      <c r="D379" s="572"/>
      <c r="E379" s="48"/>
    </row>
    <row r="380">
      <c r="A380" s="48"/>
      <c r="B380" s="395"/>
      <c r="C380" s="48"/>
      <c r="D380" s="572"/>
      <c r="E380" s="48"/>
    </row>
    <row r="381">
      <c r="A381" s="48"/>
      <c r="B381" s="395"/>
      <c r="C381" s="48"/>
      <c r="D381" s="572"/>
      <c r="E381" s="48"/>
    </row>
    <row r="382">
      <c r="A382" s="48"/>
      <c r="B382" s="395"/>
      <c r="C382" s="48"/>
      <c r="D382" s="572"/>
      <c r="E382" s="48"/>
    </row>
    <row r="383">
      <c r="A383" s="48"/>
      <c r="B383" s="395"/>
      <c r="C383" s="48"/>
      <c r="D383" s="572"/>
      <c r="E383" s="48"/>
    </row>
    <row r="384">
      <c r="A384" s="48"/>
      <c r="B384" s="395"/>
      <c r="C384" s="48"/>
      <c r="D384" s="572"/>
      <c r="E384" s="48"/>
    </row>
    <row r="385">
      <c r="A385" s="48"/>
      <c r="B385" s="395"/>
      <c r="C385" s="48"/>
      <c r="D385" s="572"/>
      <c r="E385" s="48"/>
    </row>
    <row r="386">
      <c r="A386" s="48"/>
      <c r="B386" s="395"/>
      <c r="C386" s="48"/>
      <c r="D386" s="572"/>
      <c r="E386" s="48"/>
    </row>
    <row r="387">
      <c r="A387" s="48"/>
      <c r="B387" s="395"/>
      <c r="C387" s="48"/>
      <c r="D387" s="572"/>
      <c r="E387" s="48"/>
    </row>
    <row r="388">
      <c r="A388" s="48"/>
      <c r="B388" s="395"/>
      <c r="C388" s="48"/>
      <c r="D388" s="572"/>
      <c r="E388" s="48"/>
    </row>
    <row r="389">
      <c r="A389" s="48"/>
      <c r="B389" s="395"/>
      <c r="C389" s="48"/>
      <c r="D389" s="572"/>
      <c r="E389" s="48"/>
    </row>
    <row r="390">
      <c r="A390" s="48"/>
      <c r="B390" s="395"/>
      <c r="C390" s="48"/>
      <c r="D390" s="572"/>
      <c r="E390" s="48"/>
    </row>
    <row r="391">
      <c r="A391" s="48"/>
      <c r="B391" s="395"/>
      <c r="C391" s="48"/>
      <c r="D391" s="572"/>
      <c r="E391" s="48"/>
    </row>
    <row r="392">
      <c r="A392" s="48"/>
      <c r="B392" s="395"/>
      <c r="C392" s="48"/>
      <c r="D392" s="572"/>
      <c r="E392" s="48"/>
    </row>
    <row r="393">
      <c r="A393" s="48"/>
      <c r="B393" s="395"/>
      <c r="C393" s="48"/>
      <c r="D393" s="572"/>
      <c r="E393" s="48"/>
    </row>
    <row r="394">
      <c r="A394" s="48"/>
      <c r="B394" s="395"/>
      <c r="C394" s="48"/>
      <c r="D394" s="572"/>
      <c r="E394" s="48"/>
    </row>
    <row r="395">
      <c r="A395" s="48"/>
      <c r="B395" s="395"/>
      <c r="C395" s="48"/>
      <c r="D395" s="572"/>
      <c r="E395" s="48"/>
    </row>
    <row r="396">
      <c r="A396" s="48"/>
      <c r="B396" s="395"/>
      <c r="C396" s="48"/>
      <c r="D396" s="572"/>
      <c r="E396" s="48"/>
    </row>
    <row r="397">
      <c r="A397" s="48"/>
      <c r="B397" s="395"/>
      <c r="C397" s="48"/>
      <c r="D397" s="572"/>
      <c r="E397" s="48"/>
    </row>
    <row r="398">
      <c r="A398" s="48"/>
      <c r="B398" s="395"/>
      <c r="C398" s="48"/>
      <c r="D398" s="572"/>
      <c r="E398" s="48"/>
    </row>
    <row r="399">
      <c r="A399" s="48"/>
      <c r="B399" s="395"/>
      <c r="C399" s="48"/>
      <c r="D399" s="572"/>
      <c r="E399" s="48"/>
    </row>
    <row r="400">
      <c r="A400" s="48"/>
      <c r="B400" s="395"/>
      <c r="C400" s="48"/>
      <c r="D400" s="572"/>
      <c r="E400" s="48"/>
    </row>
    <row r="401">
      <c r="A401" s="48"/>
      <c r="B401" s="395"/>
      <c r="C401" s="48"/>
      <c r="D401" s="572"/>
      <c r="E401" s="48"/>
    </row>
    <row r="402">
      <c r="A402" s="48"/>
      <c r="B402" s="395"/>
      <c r="C402" s="48"/>
      <c r="D402" s="572"/>
      <c r="E402" s="48"/>
    </row>
    <row r="403">
      <c r="A403" s="48"/>
      <c r="B403" s="395"/>
      <c r="C403" s="48"/>
      <c r="D403" s="572"/>
      <c r="E403" s="48"/>
    </row>
    <row r="404">
      <c r="A404" s="48"/>
      <c r="B404" s="395"/>
      <c r="C404" s="48"/>
      <c r="D404" s="572"/>
      <c r="E404" s="48"/>
    </row>
    <row r="405">
      <c r="A405" s="48"/>
      <c r="B405" s="395"/>
      <c r="C405" s="48"/>
      <c r="D405" s="572"/>
      <c r="E405" s="48"/>
    </row>
    <row r="406">
      <c r="A406" s="48"/>
      <c r="B406" s="395"/>
      <c r="C406" s="48"/>
      <c r="D406" s="572"/>
      <c r="E406" s="48"/>
    </row>
    <row r="407">
      <c r="A407" s="48"/>
      <c r="B407" s="395"/>
      <c r="C407" s="48"/>
      <c r="D407" s="572"/>
      <c r="E407" s="48"/>
    </row>
    <row r="408">
      <c r="A408" s="48"/>
      <c r="B408" s="395"/>
      <c r="C408" s="48"/>
      <c r="D408" s="572"/>
      <c r="E408" s="48"/>
    </row>
    <row r="409">
      <c r="A409" s="48"/>
      <c r="B409" s="395"/>
      <c r="C409" s="48"/>
      <c r="D409" s="572"/>
      <c r="E409" s="48"/>
    </row>
    <row r="410">
      <c r="A410" s="48"/>
      <c r="B410" s="395"/>
      <c r="C410" s="48"/>
      <c r="D410" s="572"/>
      <c r="E410" s="48"/>
    </row>
    <row r="411">
      <c r="A411" s="48"/>
      <c r="B411" s="395"/>
      <c r="C411" s="48"/>
      <c r="D411" s="572"/>
      <c r="E411" s="48"/>
    </row>
    <row r="412">
      <c r="A412" s="48"/>
      <c r="B412" s="395"/>
      <c r="C412" s="48"/>
      <c r="D412" s="572"/>
      <c r="E412" s="48"/>
    </row>
    <row r="413">
      <c r="A413" s="48"/>
      <c r="B413" s="395"/>
      <c r="C413" s="48"/>
      <c r="D413" s="572"/>
      <c r="E413" s="48"/>
    </row>
    <row r="414">
      <c r="A414" s="48"/>
      <c r="B414" s="395"/>
      <c r="C414" s="48"/>
      <c r="D414" s="572"/>
      <c r="E414" s="48"/>
    </row>
    <row r="415">
      <c r="A415" s="48"/>
      <c r="B415" s="395"/>
      <c r="C415" s="48"/>
      <c r="D415" s="572"/>
      <c r="E415" s="48"/>
    </row>
    <row r="416">
      <c r="A416" s="48"/>
      <c r="B416" s="395"/>
      <c r="C416" s="48"/>
      <c r="D416" s="572"/>
      <c r="E416" s="48"/>
    </row>
    <row r="417">
      <c r="A417" s="48"/>
      <c r="B417" s="395"/>
      <c r="C417" s="48"/>
      <c r="D417" s="572"/>
      <c r="E417" s="48"/>
    </row>
    <row r="418">
      <c r="A418" s="48"/>
      <c r="B418" s="395"/>
      <c r="C418" s="48"/>
      <c r="D418" s="572"/>
      <c r="E418" s="48"/>
    </row>
    <row r="419">
      <c r="A419" s="48"/>
      <c r="B419" s="395"/>
      <c r="C419" s="48"/>
      <c r="D419" s="572"/>
      <c r="E419" s="48"/>
    </row>
    <row r="420">
      <c r="A420" s="48"/>
      <c r="B420" s="395"/>
      <c r="C420" s="48"/>
      <c r="D420" s="572"/>
      <c r="E420" s="48"/>
    </row>
    <row r="421">
      <c r="A421" s="48"/>
      <c r="B421" s="395"/>
      <c r="C421" s="48"/>
      <c r="D421" s="572"/>
      <c r="E421" s="48"/>
    </row>
    <row r="422">
      <c r="A422" s="48"/>
      <c r="B422" s="395"/>
      <c r="C422" s="48"/>
      <c r="D422" s="572"/>
      <c r="E422" s="48"/>
    </row>
    <row r="423">
      <c r="A423" s="48"/>
      <c r="B423" s="395"/>
      <c r="C423" s="48"/>
      <c r="D423" s="572"/>
      <c r="E423" s="48"/>
    </row>
    <row r="424">
      <c r="A424" s="48"/>
      <c r="B424" s="395"/>
      <c r="C424" s="48"/>
      <c r="D424" s="572"/>
      <c r="E424" s="48"/>
    </row>
    <row r="425">
      <c r="A425" s="48"/>
      <c r="B425" s="395"/>
      <c r="C425" s="48"/>
      <c r="D425" s="572"/>
      <c r="E425" s="48"/>
    </row>
    <row r="426">
      <c r="A426" s="48"/>
      <c r="B426" s="395"/>
      <c r="C426" s="48"/>
      <c r="D426" s="572"/>
      <c r="E426" s="48"/>
    </row>
    <row r="427">
      <c r="A427" s="48"/>
      <c r="B427" s="395"/>
      <c r="C427" s="48"/>
      <c r="D427" s="572"/>
      <c r="E427" s="48"/>
    </row>
    <row r="428">
      <c r="A428" s="48"/>
      <c r="B428" s="395"/>
      <c r="C428" s="48"/>
      <c r="D428" s="572"/>
      <c r="E428" s="48"/>
    </row>
    <row r="429">
      <c r="A429" s="48"/>
      <c r="B429" s="395"/>
      <c r="C429" s="48"/>
      <c r="D429" s="572"/>
      <c r="E429" s="48"/>
    </row>
    <row r="430">
      <c r="A430" s="48"/>
      <c r="B430" s="395"/>
      <c r="C430" s="48"/>
      <c r="D430" s="572"/>
      <c r="E430" s="48"/>
    </row>
    <row r="431">
      <c r="A431" s="48"/>
      <c r="B431" s="395"/>
      <c r="C431" s="48"/>
      <c r="D431" s="572"/>
      <c r="E431" s="48"/>
    </row>
    <row r="432">
      <c r="A432" s="48"/>
      <c r="B432" s="395"/>
      <c r="C432" s="48"/>
      <c r="D432" s="572"/>
      <c r="E432" s="48"/>
    </row>
    <row r="433">
      <c r="A433" s="48"/>
      <c r="B433" s="395"/>
      <c r="C433" s="48"/>
      <c r="D433" s="572"/>
      <c r="E433" s="48"/>
    </row>
    <row r="434">
      <c r="A434" s="48"/>
      <c r="B434" s="395"/>
      <c r="C434" s="48"/>
      <c r="D434" s="572"/>
      <c r="E434" s="48"/>
    </row>
    <row r="435">
      <c r="A435" s="48"/>
      <c r="B435" s="395"/>
      <c r="C435" s="48"/>
      <c r="D435" s="572"/>
      <c r="E435" s="48"/>
    </row>
    <row r="436">
      <c r="A436" s="48"/>
      <c r="B436" s="395"/>
      <c r="C436" s="48"/>
      <c r="D436" s="572"/>
      <c r="E436" s="48"/>
    </row>
    <row r="437">
      <c r="A437" s="48"/>
      <c r="B437" s="395"/>
      <c r="C437" s="48"/>
      <c r="D437" s="572"/>
      <c r="E437" s="48"/>
    </row>
    <row r="438">
      <c r="A438" s="48"/>
      <c r="B438" s="395"/>
      <c r="C438" s="48"/>
      <c r="D438" s="572"/>
      <c r="E438" s="48"/>
    </row>
    <row r="439">
      <c r="A439" s="48"/>
      <c r="B439" s="395"/>
      <c r="C439" s="48"/>
      <c r="D439" s="572"/>
      <c r="E439" s="48"/>
    </row>
    <row r="440">
      <c r="A440" s="48"/>
      <c r="B440" s="395"/>
      <c r="C440" s="48"/>
      <c r="D440" s="572"/>
      <c r="E440" s="48"/>
    </row>
    <row r="441">
      <c r="A441" s="48"/>
      <c r="B441" s="395"/>
      <c r="C441" s="48"/>
      <c r="D441" s="572"/>
      <c r="E441" s="48"/>
    </row>
    <row r="442">
      <c r="A442" s="48"/>
      <c r="B442" s="395"/>
      <c r="C442" s="48"/>
      <c r="D442" s="572"/>
      <c r="E442" s="48"/>
    </row>
    <row r="443">
      <c r="A443" s="48"/>
      <c r="B443" s="395"/>
      <c r="C443" s="48"/>
      <c r="D443" s="572"/>
      <c r="E443" s="48"/>
    </row>
    <row r="444">
      <c r="A444" s="48"/>
      <c r="B444" s="395"/>
      <c r="C444" s="48"/>
      <c r="D444" s="572"/>
      <c r="E444" s="48"/>
    </row>
    <row r="445">
      <c r="A445" s="48"/>
      <c r="B445" s="395"/>
      <c r="C445" s="48"/>
      <c r="D445" s="572"/>
      <c r="E445" s="48"/>
    </row>
    <row r="446">
      <c r="A446" s="48"/>
      <c r="B446" s="395"/>
      <c r="C446" s="48"/>
      <c r="D446" s="572"/>
      <c r="E446" s="48"/>
    </row>
    <row r="447">
      <c r="A447" s="48"/>
      <c r="B447" s="395"/>
      <c r="C447" s="48"/>
      <c r="D447" s="572"/>
      <c r="E447" s="48"/>
    </row>
    <row r="448">
      <c r="A448" s="48"/>
      <c r="B448" s="395"/>
      <c r="C448" s="48"/>
      <c r="D448" s="572"/>
      <c r="E448" s="48"/>
    </row>
    <row r="449">
      <c r="A449" s="48"/>
      <c r="B449" s="395"/>
      <c r="C449" s="48"/>
      <c r="D449" s="572"/>
      <c r="E449" s="48"/>
    </row>
    <row r="450">
      <c r="A450" s="48"/>
      <c r="B450" s="395"/>
      <c r="C450" s="48"/>
      <c r="D450" s="572"/>
      <c r="E450" s="48"/>
    </row>
    <row r="451">
      <c r="A451" s="48"/>
      <c r="B451" s="395"/>
      <c r="C451" s="48"/>
      <c r="D451" s="572"/>
      <c r="E451" s="48"/>
    </row>
    <row r="452">
      <c r="A452" s="48"/>
      <c r="B452" s="395"/>
      <c r="C452" s="48"/>
      <c r="D452" s="572"/>
      <c r="E452" s="48"/>
    </row>
    <row r="453">
      <c r="A453" s="48"/>
      <c r="B453" s="395"/>
      <c r="C453" s="48"/>
      <c r="D453" s="572"/>
      <c r="E453" s="48"/>
    </row>
    <row r="454">
      <c r="A454" s="48"/>
      <c r="B454" s="395"/>
      <c r="C454" s="48"/>
      <c r="D454" s="572"/>
      <c r="E454" s="48"/>
    </row>
    <row r="455">
      <c r="A455" s="48"/>
      <c r="B455" s="395"/>
      <c r="C455" s="48"/>
      <c r="D455" s="572"/>
      <c r="E455" s="48"/>
    </row>
    <row r="456">
      <c r="A456" s="48"/>
      <c r="B456" s="395"/>
      <c r="C456" s="48"/>
      <c r="D456" s="572"/>
      <c r="E456" s="48"/>
    </row>
    <row r="457">
      <c r="A457" s="48"/>
      <c r="B457" s="395"/>
      <c r="C457" s="48"/>
      <c r="D457" s="572"/>
      <c r="E457" s="48"/>
    </row>
    <row r="458">
      <c r="A458" s="48"/>
      <c r="B458" s="395"/>
      <c r="C458" s="48"/>
      <c r="D458" s="572"/>
      <c r="E458" s="48"/>
    </row>
    <row r="459">
      <c r="A459" s="48"/>
      <c r="B459" s="395"/>
      <c r="C459" s="48"/>
      <c r="D459" s="572"/>
      <c r="E459" s="48"/>
    </row>
    <row r="460">
      <c r="A460" s="48"/>
      <c r="B460" s="395"/>
      <c r="C460" s="48"/>
      <c r="D460" s="572"/>
      <c r="E460" s="48"/>
    </row>
    <row r="461">
      <c r="A461" s="48"/>
      <c r="B461" s="395"/>
      <c r="C461" s="48"/>
      <c r="D461" s="572"/>
      <c r="E461" s="48"/>
    </row>
    <row r="462">
      <c r="A462" s="48"/>
      <c r="B462" s="395"/>
      <c r="C462" s="48"/>
      <c r="D462" s="572"/>
      <c r="E462" s="48"/>
    </row>
    <row r="463">
      <c r="A463" s="48"/>
      <c r="B463" s="395"/>
      <c r="C463" s="48"/>
      <c r="D463" s="572"/>
      <c r="E463" s="48"/>
    </row>
    <row r="464">
      <c r="A464" s="48"/>
      <c r="B464" s="395"/>
      <c r="C464" s="48"/>
      <c r="D464" s="572"/>
      <c r="E464" s="48"/>
    </row>
    <row r="465">
      <c r="A465" s="48"/>
      <c r="B465" s="395"/>
      <c r="C465" s="48"/>
      <c r="D465" s="572"/>
      <c r="E465" s="48"/>
    </row>
    <row r="466">
      <c r="A466" s="48"/>
      <c r="B466" s="395"/>
      <c r="C466" s="48"/>
      <c r="D466" s="572"/>
      <c r="E466" s="48"/>
    </row>
    <row r="467">
      <c r="A467" s="48"/>
      <c r="B467" s="395"/>
      <c r="C467" s="48"/>
      <c r="D467" s="572"/>
      <c r="E467" s="48"/>
    </row>
    <row r="468">
      <c r="A468" s="48"/>
      <c r="B468" s="395"/>
      <c r="C468" s="48"/>
      <c r="D468" s="572"/>
      <c r="E468" s="48"/>
    </row>
    <row r="469">
      <c r="A469" s="48"/>
      <c r="B469" s="395"/>
      <c r="C469" s="48"/>
      <c r="D469" s="572"/>
      <c r="E469" s="48"/>
    </row>
    <row r="470">
      <c r="A470" s="48"/>
      <c r="B470" s="395"/>
      <c r="C470" s="48"/>
      <c r="D470" s="572"/>
      <c r="E470" s="48"/>
    </row>
    <row r="471">
      <c r="A471" s="48"/>
      <c r="B471" s="395"/>
      <c r="C471" s="48"/>
      <c r="D471" s="572"/>
      <c r="E471" s="48"/>
    </row>
    <row r="472">
      <c r="A472" s="48"/>
      <c r="B472" s="395"/>
      <c r="C472" s="48"/>
      <c r="D472" s="572"/>
      <c r="E472" s="48"/>
    </row>
    <row r="473">
      <c r="A473" s="48"/>
      <c r="B473" s="395"/>
      <c r="C473" s="48"/>
      <c r="D473" s="572"/>
      <c r="E473" s="48"/>
    </row>
    <row r="474">
      <c r="A474" s="48"/>
      <c r="B474" s="395"/>
      <c r="C474" s="48"/>
      <c r="D474" s="572"/>
      <c r="E474" s="48"/>
    </row>
    <row r="475">
      <c r="A475" s="48"/>
      <c r="B475" s="395"/>
      <c r="C475" s="48"/>
      <c r="D475" s="572"/>
      <c r="E475" s="48"/>
    </row>
    <row r="476">
      <c r="A476" s="48"/>
      <c r="B476" s="395"/>
      <c r="C476" s="48"/>
      <c r="D476" s="572"/>
      <c r="E476" s="48"/>
    </row>
    <row r="477">
      <c r="A477" s="48"/>
      <c r="B477" s="395"/>
      <c r="C477" s="48"/>
      <c r="D477" s="572"/>
      <c r="E477" s="48"/>
    </row>
    <row r="478">
      <c r="A478" s="48"/>
      <c r="B478" s="395"/>
      <c r="C478" s="48"/>
      <c r="D478" s="572"/>
      <c r="E478" s="48"/>
    </row>
    <row r="479">
      <c r="A479" s="48"/>
      <c r="B479" s="395"/>
      <c r="C479" s="48"/>
      <c r="D479" s="572"/>
      <c r="E479" s="48"/>
    </row>
    <row r="480">
      <c r="A480" s="48"/>
      <c r="B480" s="395"/>
      <c r="C480" s="48"/>
      <c r="D480" s="572"/>
      <c r="E480" s="48"/>
    </row>
    <row r="481">
      <c r="A481" s="48"/>
      <c r="B481" s="395"/>
      <c r="C481" s="48"/>
      <c r="D481" s="572"/>
      <c r="E481" s="48"/>
    </row>
    <row r="482">
      <c r="A482" s="48"/>
      <c r="B482" s="395"/>
      <c r="C482" s="48"/>
      <c r="D482" s="572"/>
      <c r="E482" s="48"/>
    </row>
    <row r="483">
      <c r="A483" s="48"/>
      <c r="B483" s="395"/>
      <c r="C483" s="48"/>
      <c r="D483" s="572"/>
      <c r="E483" s="48"/>
    </row>
    <row r="484">
      <c r="A484" s="48"/>
      <c r="B484" s="395"/>
      <c r="C484" s="48"/>
      <c r="D484" s="572"/>
      <c r="E484" s="48"/>
    </row>
    <row r="485">
      <c r="A485" s="48"/>
      <c r="B485" s="395"/>
      <c r="C485" s="48"/>
      <c r="D485" s="572"/>
      <c r="E485" s="48"/>
    </row>
    <row r="486">
      <c r="A486" s="48"/>
      <c r="B486" s="395"/>
      <c r="C486" s="48"/>
      <c r="D486" s="572"/>
      <c r="E486" s="48"/>
    </row>
    <row r="487">
      <c r="A487" s="48"/>
      <c r="B487" s="395"/>
      <c r="C487" s="48"/>
      <c r="D487" s="572"/>
      <c r="E487" s="48"/>
    </row>
    <row r="488">
      <c r="A488" s="48"/>
      <c r="B488" s="395"/>
      <c r="C488" s="48"/>
      <c r="D488" s="572"/>
      <c r="E488" s="48"/>
    </row>
    <row r="489">
      <c r="A489" s="48"/>
      <c r="B489" s="395"/>
      <c r="C489" s="48"/>
      <c r="D489" s="572"/>
      <c r="E489" s="48"/>
    </row>
    <row r="490">
      <c r="A490" s="48"/>
      <c r="B490" s="395"/>
      <c r="C490" s="48"/>
      <c r="D490" s="572"/>
      <c r="E490" s="48"/>
    </row>
    <row r="491">
      <c r="A491" s="48"/>
      <c r="B491" s="395"/>
      <c r="C491" s="48"/>
      <c r="D491" s="572"/>
      <c r="E491" s="48"/>
    </row>
    <row r="492">
      <c r="A492" s="48"/>
      <c r="B492" s="395"/>
      <c r="C492" s="48"/>
      <c r="D492" s="572"/>
      <c r="E492" s="48"/>
    </row>
    <row r="493">
      <c r="A493" s="48"/>
      <c r="B493" s="395"/>
      <c r="C493" s="48"/>
      <c r="D493" s="572"/>
      <c r="E493" s="48"/>
    </row>
    <row r="494">
      <c r="A494" s="48"/>
      <c r="B494" s="395"/>
      <c r="C494" s="48"/>
      <c r="D494" s="572"/>
      <c r="E494" s="48"/>
    </row>
    <row r="495">
      <c r="A495" s="48"/>
      <c r="B495" s="395"/>
      <c r="C495" s="48"/>
      <c r="D495" s="572"/>
      <c r="E495" s="48"/>
    </row>
    <row r="496">
      <c r="A496" s="48"/>
      <c r="B496" s="395"/>
      <c r="C496" s="48"/>
      <c r="D496" s="572"/>
      <c r="E496" s="48"/>
    </row>
    <row r="497">
      <c r="A497" s="48"/>
      <c r="B497" s="395"/>
      <c r="C497" s="48"/>
      <c r="D497" s="572"/>
      <c r="E497" s="48"/>
    </row>
    <row r="498">
      <c r="A498" s="48"/>
      <c r="B498" s="395"/>
      <c r="C498" s="48"/>
      <c r="D498" s="572"/>
      <c r="E498" s="48"/>
    </row>
    <row r="499">
      <c r="A499" s="48"/>
      <c r="B499" s="395"/>
      <c r="C499" s="48"/>
      <c r="D499" s="572"/>
      <c r="E499" s="48"/>
    </row>
    <row r="500">
      <c r="A500" s="48"/>
      <c r="B500" s="395"/>
      <c r="C500" s="48"/>
      <c r="D500" s="572"/>
      <c r="E500" s="48"/>
    </row>
    <row r="501">
      <c r="A501" s="48"/>
      <c r="B501" s="395"/>
      <c r="C501" s="48"/>
      <c r="D501" s="572"/>
      <c r="E501" s="48"/>
    </row>
    <row r="502">
      <c r="A502" s="48"/>
      <c r="B502" s="395"/>
      <c r="C502" s="48"/>
      <c r="D502" s="572"/>
      <c r="E502" s="48"/>
    </row>
    <row r="503">
      <c r="A503" s="48"/>
      <c r="B503" s="395"/>
      <c r="C503" s="48"/>
      <c r="D503" s="572"/>
      <c r="E503" s="48"/>
    </row>
    <row r="504">
      <c r="A504" s="48"/>
      <c r="B504" s="395"/>
      <c r="C504" s="48"/>
      <c r="D504" s="572"/>
      <c r="E504" s="48"/>
    </row>
    <row r="505">
      <c r="A505" s="48"/>
      <c r="B505" s="395"/>
      <c r="C505" s="48"/>
      <c r="D505" s="572"/>
      <c r="E505" s="48"/>
    </row>
    <row r="506">
      <c r="A506" s="48"/>
      <c r="B506" s="395"/>
      <c r="C506" s="48"/>
      <c r="D506" s="572"/>
      <c r="E506" s="48"/>
    </row>
    <row r="507">
      <c r="A507" s="48"/>
      <c r="B507" s="395"/>
      <c r="C507" s="48"/>
      <c r="D507" s="572"/>
      <c r="E507" s="48"/>
    </row>
    <row r="508">
      <c r="A508" s="48"/>
      <c r="B508" s="395"/>
      <c r="C508" s="48"/>
      <c r="D508" s="572"/>
      <c r="E508" s="48"/>
    </row>
    <row r="509">
      <c r="A509" s="48"/>
      <c r="B509" s="395"/>
      <c r="C509" s="48"/>
      <c r="D509" s="572"/>
      <c r="E509" s="48"/>
    </row>
    <row r="510">
      <c r="A510" s="48"/>
      <c r="B510" s="395"/>
      <c r="C510" s="48"/>
      <c r="D510" s="572"/>
      <c r="E510" s="48"/>
    </row>
    <row r="511">
      <c r="A511" s="48"/>
      <c r="B511" s="395"/>
      <c r="C511" s="48"/>
      <c r="D511" s="572"/>
      <c r="E511" s="48"/>
    </row>
    <row r="512">
      <c r="A512" s="48"/>
      <c r="B512" s="395"/>
      <c r="C512" s="48"/>
      <c r="D512" s="572"/>
      <c r="E512" s="48"/>
    </row>
    <row r="513">
      <c r="A513" s="48"/>
      <c r="B513" s="395"/>
      <c r="C513" s="48"/>
      <c r="D513" s="572"/>
      <c r="E513" s="48"/>
    </row>
    <row r="514">
      <c r="A514" s="48"/>
      <c r="B514" s="395"/>
      <c r="C514" s="48"/>
      <c r="D514" s="572"/>
      <c r="E514" s="48"/>
    </row>
    <row r="515">
      <c r="A515" s="48"/>
      <c r="B515" s="395"/>
      <c r="C515" s="48"/>
      <c r="D515" s="572"/>
      <c r="E515" s="48"/>
    </row>
    <row r="516">
      <c r="A516" s="48"/>
      <c r="B516" s="395"/>
      <c r="C516" s="48"/>
      <c r="D516" s="572"/>
      <c r="E516" s="48"/>
    </row>
    <row r="517">
      <c r="A517" s="48"/>
      <c r="B517" s="395"/>
      <c r="C517" s="48"/>
      <c r="D517" s="572"/>
      <c r="E517" s="48"/>
    </row>
    <row r="518">
      <c r="A518" s="48"/>
      <c r="B518" s="395"/>
      <c r="C518" s="48"/>
      <c r="D518" s="572"/>
      <c r="E518" s="48"/>
    </row>
    <row r="519">
      <c r="A519" s="48"/>
      <c r="B519" s="395"/>
      <c r="C519" s="48"/>
      <c r="D519" s="572"/>
      <c r="E519" s="48"/>
    </row>
    <row r="520">
      <c r="A520" s="48"/>
      <c r="B520" s="395"/>
      <c r="C520" s="48"/>
      <c r="D520" s="572"/>
      <c r="E520" s="48"/>
    </row>
    <row r="521">
      <c r="A521" s="48"/>
      <c r="B521" s="395"/>
      <c r="C521" s="48"/>
      <c r="D521" s="572"/>
      <c r="E521" s="48"/>
    </row>
    <row r="522">
      <c r="A522" s="48"/>
      <c r="B522" s="395"/>
      <c r="C522" s="48"/>
      <c r="D522" s="572"/>
      <c r="E522" s="48"/>
    </row>
    <row r="523">
      <c r="A523" s="48"/>
      <c r="B523" s="395"/>
      <c r="C523" s="48"/>
      <c r="D523" s="572"/>
      <c r="E523" s="48"/>
    </row>
    <row r="524">
      <c r="A524" s="48"/>
      <c r="B524" s="395"/>
      <c r="C524" s="48"/>
      <c r="D524" s="572"/>
      <c r="E524" s="48"/>
    </row>
    <row r="525">
      <c r="A525" s="48"/>
      <c r="B525" s="395"/>
      <c r="C525" s="48"/>
      <c r="D525" s="572"/>
      <c r="E525" s="48"/>
    </row>
    <row r="526">
      <c r="A526" s="48"/>
      <c r="B526" s="395"/>
      <c r="C526" s="48"/>
      <c r="D526" s="572"/>
      <c r="E526" s="48"/>
    </row>
    <row r="527">
      <c r="A527" s="48"/>
      <c r="B527" s="395"/>
      <c r="C527" s="48"/>
      <c r="D527" s="572"/>
      <c r="E527" s="48"/>
    </row>
    <row r="528">
      <c r="A528" s="48"/>
      <c r="B528" s="395"/>
      <c r="C528" s="48"/>
      <c r="D528" s="572"/>
      <c r="E528" s="48"/>
    </row>
    <row r="529">
      <c r="A529" s="48"/>
      <c r="B529" s="395"/>
      <c r="C529" s="48"/>
      <c r="D529" s="572"/>
      <c r="E529" s="48"/>
    </row>
    <row r="530">
      <c r="A530" s="48"/>
      <c r="B530" s="395"/>
      <c r="C530" s="48"/>
      <c r="D530" s="572"/>
      <c r="E530" s="48"/>
    </row>
    <row r="531">
      <c r="A531" s="48"/>
      <c r="B531" s="395"/>
      <c r="C531" s="48"/>
      <c r="D531" s="572"/>
      <c r="E531" s="48"/>
    </row>
    <row r="532">
      <c r="A532" s="48"/>
      <c r="B532" s="395"/>
      <c r="C532" s="48"/>
      <c r="D532" s="572"/>
      <c r="E532" s="48"/>
    </row>
    <row r="533">
      <c r="A533" s="48"/>
      <c r="B533" s="395"/>
      <c r="C533" s="48"/>
      <c r="D533" s="572"/>
      <c r="E533" s="48"/>
    </row>
    <row r="534">
      <c r="A534" s="48"/>
      <c r="B534" s="395"/>
      <c r="C534" s="48"/>
      <c r="D534" s="572"/>
      <c r="E534" s="48"/>
    </row>
    <row r="535">
      <c r="A535" s="48"/>
      <c r="B535" s="395"/>
      <c r="C535" s="48"/>
      <c r="D535" s="572"/>
      <c r="E535" s="48"/>
    </row>
    <row r="536">
      <c r="A536" s="48"/>
      <c r="B536" s="395"/>
      <c r="C536" s="48"/>
      <c r="D536" s="572"/>
      <c r="E536" s="48"/>
    </row>
    <row r="537">
      <c r="A537" s="48"/>
      <c r="B537" s="395"/>
      <c r="C537" s="48"/>
      <c r="D537" s="572"/>
      <c r="E537" s="48"/>
    </row>
    <row r="538">
      <c r="A538" s="48"/>
      <c r="B538" s="395"/>
      <c r="C538" s="48"/>
      <c r="D538" s="572"/>
      <c r="E538" s="48"/>
    </row>
    <row r="539">
      <c r="A539" s="48"/>
      <c r="B539" s="395"/>
      <c r="C539" s="48"/>
      <c r="D539" s="572"/>
      <c r="E539" s="48"/>
    </row>
    <row r="540">
      <c r="A540" s="48"/>
      <c r="B540" s="395"/>
      <c r="C540" s="48"/>
      <c r="D540" s="572"/>
      <c r="E540" s="48"/>
    </row>
    <row r="541">
      <c r="A541" s="48"/>
      <c r="B541" s="395"/>
      <c r="C541" s="48"/>
      <c r="D541" s="572"/>
      <c r="E541" s="48"/>
    </row>
    <row r="542">
      <c r="A542" s="48"/>
      <c r="B542" s="395"/>
      <c r="C542" s="48"/>
      <c r="D542" s="572"/>
      <c r="E542" s="48"/>
    </row>
    <row r="543">
      <c r="A543" s="48"/>
      <c r="B543" s="395"/>
      <c r="C543" s="48"/>
      <c r="D543" s="572"/>
      <c r="E543" s="48"/>
    </row>
    <row r="544">
      <c r="A544" s="48"/>
      <c r="B544" s="395"/>
      <c r="C544" s="48"/>
      <c r="D544" s="572"/>
      <c r="E544" s="48"/>
    </row>
    <row r="545">
      <c r="A545" s="48"/>
      <c r="B545" s="395"/>
      <c r="C545" s="48"/>
      <c r="D545" s="572"/>
      <c r="E545" s="48"/>
    </row>
    <row r="546">
      <c r="A546" s="48"/>
      <c r="B546" s="395"/>
      <c r="C546" s="48"/>
      <c r="D546" s="572"/>
      <c r="E546" s="48"/>
    </row>
    <row r="547">
      <c r="A547" s="48"/>
      <c r="B547" s="395"/>
      <c r="C547" s="48"/>
      <c r="D547" s="572"/>
      <c r="E547" s="48"/>
    </row>
    <row r="548">
      <c r="A548" s="48"/>
      <c r="B548" s="395"/>
      <c r="C548" s="48"/>
      <c r="D548" s="572"/>
      <c r="E548" s="48"/>
    </row>
    <row r="549">
      <c r="A549" s="48"/>
      <c r="B549" s="395"/>
      <c r="C549" s="48"/>
      <c r="D549" s="572"/>
      <c r="E549" s="48"/>
    </row>
    <row r="550">
      <c r="A550" s="48"/>
      <c r="B550" s="395"/>
      <c r="C550" s="48"/>
      <c r="D550" s="572"/>
      <c r="E550" s="48"/>
    </row>
    <row r="551">
      <c r="A551" s="48"/>
      <c r="B551" s="395"/>
      <c r="C551" s="48"/>
      <c r="D551" s="572"/>
      <c r="E551" s="48"/>
    </row>
    <row r="552">
      <c r="A552" s="48"/>
      <c r="B552" s="395"/>
      <c r="C552" s="48"/>
      <c r="D552" s="572"/>
      <c r="E552" s="48"/>
    </row>
    <row r="553">
      <c r="A553" s="48"/>
      <c r="B553" s="395"/>
      <c r="C553" s="48"/>
      <c r="D553" s="572"/>
      <c r="E553" s="48"/>
    </row>
    <row r="554">
      <c r="A554" s="48"/>
      <c r="B554" s="395"/>
      <c r="C554" s="48"/>
      <c r="D554" s="572"/>
      <c r="E554" s="48"/>
    </row>
    <row r="555">
      <c r="A555" s="48"/>
      <c r="B555" s="395"/>
      <c r="C555" s="48"/>
      <c r="D555" s="572"/>
      <c r="E555" s="48"/>
    </row>
    <row r="556">
      <c r="A556" s="48"/>
      <c r="B556" s="395"/>
      <c r="C556" s="48"/>
      <c r="D556" s="572"/>
      <c r="E556" s="48"/>
    </row>
    <row r="557">
      <c r="A557" s="48"/>
      <c r="B557" s="395"/>
      <c r="C557" s="48"/>
      <c r="D557" s="572"/>
      <c r="E557" s="48"/>
    </row>
    <row r="558">
      <c r="A558" s="48"/>
      <c r="B558" s="395"/>
      <c r="C558" s="48"/>
      <c r="D558" s="572"/>
      <c r="E558" s="48"/>
    </row>
    <row r="559">
      <c r="A559" s="48"/>
      <c r="B559" s="395"/>
      <c r="C559" s="48"/>
      <c r="D559" s="572"/>
      <c r="E559" s="48"/>
    </row>
    <row r="560">
      <c r="A560" s="48"/>
      <c r="B560" s="395"/>
      <c r="C560" s="48"/>
      <c r="D560" s="572"/>
      <c r="E560" s="48"/>
    </row>
    <row r="561">
      <c r="A561" s="48"/>
      <c r="B561" s="395"/>
      <c r="C561" s="48"/>
      <c r="D561" s="572"/>
      <c r="E561" s="48"/>
    </row>
    <row r="562">
      <c r="A562" s="48"/>
      <c r="B562" s="395"/>
      <c r="C562" s="48"/>
      <c r="D562" s="572"/>
      <c r="E562" s="48"/>
    </row>
    <row r="563">
      <c r="A563" s="48"/>
      <c r="B563" s="395"/>
      <c r="C563" s="48"/>
      <c r="D563" s="572"/>
      <c r="E563" s="48"/>
    </row>
    <row r="564">
      <c r="A564" s="48"/>
      <c r="B564" s="395"/>
      <c r="C564" s="48"/>
      <c r="D564" s="572"/>
      <c r="E564" s="48"/>
    </row>
    <row r="565">
      <c r="A565" s="48"/>
      <c r="B565" s="395"/>
      <c r="C565" s="48"/>
      <c r="D565" s="572"/>
      <c r="E565" s="48"/>
    </row>
    <row r="566">
      <c r="A566" s="48"/>
      <c r="B566" s="395"/>
      <c r="C566" s="48"/>
      <c r="D566" s="572"/>
      <c r="E566" s="48"/>
    </row>
    <row r="567">
      <c r="A567" s="48"/>
      <c r="B567" s="395"/>
      <c r="C567" s="48"/>
      <c r="D567" s="572"/>
      <c r="E567" s="48"/>
    </row>
    <row r="568">
      <c r="A568" s="48"/>
      <c r="B568" s="395"/>
      <c r="C568" s="48"/>
      <c r="D568" s="572"/>
      <c r="E568" s="48"/>
    </row>
    <row r="569">
      <c r="A569" s="48"/>
      <c r="B569" s="395"/>
      <c r="C569" s="48"/>
      <c r="D569" s="572"/>
      <c r="E569" s="48"/>
    </row>
    <row r="570">
      <c r="A570" s="48"/>
      <c r="B570" s="395"/>
      <c r="C570" s="48"/>
      <c r="D570" s="572"/>
      <c r="E570" s="48"/>
    </row>
    <row r="571">
      <c r="A571" s="48"/>
      <c r="B571" s="395"/>
      <c r="C571" s="48"/>
      <c r="D571" s="572"/>
      <c r="E571" s="48"/>
    </row>
    <row r="572">
      <c r="A572" s="48"/>
      <c r="B572" s="395"/>
      <c r="C572" s="48"/>
      <c r="D572" s="572"/>
      <c r="E572" s="48"/>
    </row>
    <row r="573">
      <c r="A573" s="48"/>
      <c r="B573" s="395"/>
      <c r="C573" s="48"/>
      <c r="D573" s="572"/>
      <c r="E573" s="48"/>
    </row>
    <row r="574">
      <c r="A574" s="48"/>
      <c r="B574" s="395"/>
      <c r="C574" s="48"/>
      <c r="D574" s="572"/>
      <c r="E574" s="48"/>
    </row>
    <row r="575">
      <c r="A575" s="48"/>
      <c r="B575" s="395"/>
      <c r="C575" s="48"/>
      <c r="D575" s="572"/>
      <c r="E575" s="48"/>
    </row>
    <row r="576">
      <c r="A576" s="48"/>
      <c r="B576" s="395"/>
      <c r="C576" s="48"/>
      <c r="D576" s="572"/>
      <c r="E576" s="48"/>
    </row>
    <row r="577">
      <c r="A577" s="48"/>
      <c r="B577" s="395"/>
      <c r="C577" s="48"/>
      <c r="D577" s="572"/>
      <c r="E577" s="48"/>
    </row>
    <row r="578">
      <c r="A578" s="48"/>
      <c r="B578" s="395"/>
      <c r="C578" s="48"/>
      <c r="D578" s="572"/>
      <c r="E578" s="48"/>
    </row>
    <row r="579">
      <c r="A579" s="48"/>
      <c r="B579" s="395"/>
      <c r="C579" s="48"/>
      <c r="D579" s="572"/>
      <c r="E579" s="48"/>
    </row>
    <row r="580">
      <c r="A580" s="48"/>
      <c r="B580" s="395"/>
      <c r="C580" s="48"/>
      <c r="D580" s="572"/>
      <c r="E580" s="48"/>
    </row>
    <row r="581">
      <c r="A581" s="48"/>
      <c r="B581" s="395"/>
      <c r="C581" s="48"/>
      <c r="D581" s="572"/>
      <c r="E581" s="48"/>
    </row>
    <row r="582">
      <c r="A582" s="48"/>
      <c r="B582" s="395"/>
      <c r="C582" s="48"/>
      <c r="D582" s="572"/>
      <c r="E582" s="48"/>
    </row>
    <row r="583">
      <c r="A583" s="48"/>
      <c r="B583" s="395"/>
      <c r="C583" s="48"/>
      <c r="D583" s="572"/>
      <c r="E583" s="48"/>
    </row>
    <row r="584">
      <c r="A584" s="48"/>
      <c r="B584" s="395"/>
      <c r="C584" s="48"/>
      <c r="D584" s="572"/>
      <c r="E584" s="48"/>
    </row>
    <row r="585">
      <c r="A585" s="48"/>
      <c r="B585" s="395"/>
      <c r="C585" s="48"/>
      <c r="D585" s="572"/>
      <c r="E585" s="48"/>
    </row>
    <row r="586">
      <c r="A586" s="48"/>
      <c r="B586" s="395"/>
      <c r="C586" s="48"/>
      <c r="D586" s="572"/>
      <c r="E586" s="48"/>
    </row>
    <row r="587">
      <c r="A587" s="48"/>
      <c r="B587" s="395"/>
      <c r="C587" s="48"/>
      <c r="D587" s="572"/>
      <c r="E587" s="48"/>
    </row>
    <row r="588">
      <c r="A588" s="48"/>
      <c r="B588" s="395"/>
      <c r="C588" s="48"/>
      <c r="D588" s="572"/>
      <c r="E588" s="48"/>
    </row>
    <row r="589">
      <c r="A589" s="48"/>
      <c r="B589" s="395"/>
      <c r="C589" s="48"/>
      <c r="D589" s="572"/>
      <c r="E589" s="48"/>
    </row>
    <row r="590">
      <c r="A590" s="48"/>
      <c r="B590" s="395"/>
      <c r="C590" s="48"/>
      <c r="D590" s="572"/>
      <c r="E590" s="48"/>
    </row>
    <row r="591">
      <c r="A591" s="48"/>
      <c r="B591" s="395"/>
      <c r="C591" s="48"/>
      <c r="D591" s="572"/>
      <c r="E591" s="48"/>
    </row>
    <row r="592">
      <c r="A592" s="48"/>
      <c r="B592" s="395"/>
      <c r="C592" s="48"/>
      <c r="D592" s="572"/>
      <c r="E592" s="48"/>
    </row>
    <row r="593">
      <c r="A593" s="48"/>
      <c r="B593" s="395"/>
      <c r="C593" s="48"/>
      <c r="D593" s="572"/>
      <c r="E593" s="48"/>
    </row>
    <row r="594">
      <c r="A594" s="48"/>
      <c r="B594" s="395"/>
      <c r="C594" s="48"/>
      <c r="D594" s="572"/>
      <c r="E594" s="48"/>
    </row>
    <row r="595">
      <c r="A595" s="48"/>
      <c r="B595" s="395"/>
      <c r="C595" s="48"/>
      <c r="D595" s="572"/>
      <c r="E595" s="48"/>
    </row>
    <row r="596">
      <c r="A596" s="48"/>
      <c r="B596" s="395"/>
      <c r="C596" s="48"/>
      <c r="D596" s="572"/>
      <c r="E596" s="48"/>
    </row>
    <row r="597">
      <c r="A597" s="48"/>
      <c r="B597" s="395"/>
      <c r="C597" s="48"/>
      <c r="D597" s="572"/>
      <c r="E597" s="48"/>
    </row>
    <row r="598">
      <c r="A598" s="48"/>
      <c r="B598" s="395"/>
      <c r="C598" s="48"/>
      <c r="D598" s="572"/>
      <c r="E598" s="48"/>
    </row>
    <row r="599">
      <c r="A599" s="48"/>
      <c r="B599" s="395"/>
      <c r="C599" s="48"/>
      <c r="D599" s="572"/>
      <c r="E599" s="48"/>
    </row>
    <row r="600">
      <c r="A600" s="48"/>
      <c r="B600" s="395"/>
      <c r="C600" s="48"/>
      <c r="D600" s="572"/>
      <c r="E600" s="48"/>
    </row>
    <row r="601">
      <c r="A601" s="48"/>
      <c r="B601" s="395"/>
      <c r="C601" s="48"/>
      <c r="D601" s="572"/>
      <c r="E601" s="48"/>
    </row>
    <row r="602">
      <c r="A602" s="48"/>
      <c r="B602" s="395"/>
      <c r="C602" s="48"/>
      <c r="D602" s="572"/>
      <c r="E602" s="48"/>
    </row>
    <row r="603">
      <c r="A603" s="48"/>
      <c r="B603" s="395"/>
      <c r="C603" s="48"/>
      <c r="D603" s="572"/>
      <c r="E603" s="48"/>
    </row>
    <row r="604">
      <c r="A604" s="48"/>
      <c r="B604" s="395"/>
      <c r="C604" s="48"/>
      <c r="D604" s="572"/>
      <c r="E604" s="48"/>
    </row>
    <row r="605">
      <c r="A605" s="48"/>
      <c r="B605" s="395"/>
      <c r="C605" s="48"/>
      <c r="D605" s="572"/>
      <c r="E605" s="48"/>
    </row>
    <row r="606">
      <c r="A606" s="48"/>
      <c r="B606" s="395"/>
      <c r="C606" s="48"/>
      <c r="D606" s="572"/>
      <c r="E606" s="48"/>
    </row>
    <row r="607">
      <c r="A607" s="48"/>
      <c r="B607" s="395"/>
      <c r="C607" s="48"/>
      <c r="D607" s="572"/>
      <c r="E607" s="48"/>
    </row>
    <row r="608">
      <c r="A608" s="48"/>
      <c r="B608" s="395"/>
      <c r="C608" s="48"/>
      <c r="D608" s="572"/>
      <c r="E608" s="48"/>
    </row>
    <row r="609">
      <c r="A609" s="48"/>
      <c r="B609" s="395"/>
      <c r="C609" s="48"/>
      <c r="D609" s="572"/>
      <c r="E609" s="48"/>
    </row>
    <row r="610">
      <c r="A610" s="48"/>
      <c r="B610" s="395"/>
      <c r="C610" s="48"/>
      <c r="D610" s="572"/>
      <c r="E610" s="48"/>
    </row>
    <row r="611">
      <c r="A611" s="48"/>
      <c r="B611" s="395"/>
      <c r="C611" s="48"/>
      <c r="D611" s="572"/>
      <c r="E611" s="48"/>
    </row>
    <row r="612">
      <c r="A612" s="48"/>
      <c r="B612" s="395"/>
      <c r="C612" s="48"/>
      <c r="D612" s="572"/>
      <c r="E612" s="48"/>
    </row>
    <row r="613">
      <c r="A613" s="48"/>
      <c r="B613" s="395"/>
      <c r="C613" s="48"/>
      <c r="D613" s="572"/>
      <c r="E613" s="48"/>
    </row>
    <row r="614">
      <c r="A614" s="48"/>
      <c r="B614" s="395"/>
      <c r="C614" s="48"/>
      <c r="D614" s="572"/>
      <c r="E614" s="48"/>
    </row>
    <row r="615">
      <c r="A615" s="48"/>
      <c r="B615" s="395"/>
      <c r="C615" s="48"/>
      <c r="D615" s="572"/>
      <c r="E615" s="48"/>
    </row>
    <row r="616">
      <c r="A616" s="48"/>
      <c r="B616" s="395"/>
      <c r="C616" s="48"/>
      <c r="D616" s="572"/>
      <c r="E616" s="48"/>
    </row>
    <row r="617">
      <c r="A617" s="48"/>
      <c r="B617" s="395"/>
      <c r="C617" s="48"/>
      <c r="D617" s="572"/>
      <c r="E617" s="48"/>
    </row>
    <row r="618">
      <c r="A618" s="48"/>
      <c r="B618" s="395"/>
      <c r="C618" s="48"/>
      <c r="D618" s="572"/>
      <c r="E618" s="48"/>
    </row>
    <row r="619">
      <c r="A619" s="48"/>
      <c r="B619" s="395"/>
      <c r="C619" s="48"/>
      <c r="D619" s="572"/>
      <c r="E619" s="48"/>
    </row>
    <row r="620">
      <c r="A620" s="48"/>
      <c r="B620" s="395"/>
      <c r="C620" s="48"/>
      <c r="D620" s="572"/>
      <c r="E620" s="48"/>
    </row>
    <row r="621">
      <c r="A621" s="48"/>
      <c r="B621" s="395"/>
      <c r="C621" s="48"/>
      <c r="D621" s="572"/>
      <c r="E621" s="48"/>
    </row>
    <row r="622">
      <c r="A622" s="48"/>
      <c r="B622" s="395"/>
      <c r="C622" s="48"/>
      <c r="D622" s="572"/>
      <c r="E622" s="48"/>
    </row>
    <row r="623">
      <c r="A623" s="48"/>
      <c r="B623" s="395"/>
      <c r="C623" s="48"/>
      <c r="D623" s="572"/>
      <c r="E623" s="48"/>
    </row>
    <row r="624">
      <c r="A624" s="48"/>
      <c r="B624" s="395"/>
      <c r="C624" s="48"/>
      <c r="D624" s="572"/>
      <c r="E624" s="48"/>
    </row>
    <row r="625">
      <c r="A625" s="48"/>
      <c r="B625" s="395"/>
      <c r="C625" s="48"/>
      <c r="D625" s="572"/>
      <c r="E625" s="48"/>
    </row>
    <row r="626">
      <c r="A626" s="48"/>
      <c r="B626" s="395"/>
      <c r="C626" s="48"/>
      <c r="D626" s="572"/>
      <c r="E626" s="48"/>
    </row>
    <row r="627">
      <c r="A627" s="48"/>
      <c r="B627" s="395"/>
      <c r="C627" s="48"/>
      <c r="D627" s="572"/>
      <c r="E627" s="48"/>
    </row>
    <row r="628">
      <c r="A628" s="48"/>
      <c r="B628" s="395"/>
      <c r="C628" s="48"/>
      <c r="D628" s="572"/>
      <c r="E628" s="48"/>
    </row>
    <row r="629">
      <c r="A629" s="48"/>
      <c r="B629" s="395"/>
      <c r="C629" s="48"/>
      <c r="D629" s="572"/>
      <c r="E629" s="48"/>
    </row>
    <row r="630">
      <c r="A630" s="48"/>
      <c r="B630" s="395"/>
      <c r="C630" s="48"/>
      <c r="D630" s="572"/>
      <c r="E630" s="48"/>
    </row>
    <row r="631">
      <c r="A631" s="48"/>
      <c r="B631" s="395"/>
      <c r="C631" s="48"/>
      <c r="D631" s="572"/>
      <c r="E631" s="48"/>
    </row>
    <row r="632">
      <c r="A632" s="48"/>
      <c r="B632" s="395"/>
      <c r="C632" s="48"/>
      <c r="D632" s="572"/>
      <c r="E632" s="48"/>
    </row>
    <row r="633">
      <c r="A633" s="48"/>
      <c r="B633" s="395"/>
      <c r="C633" s="48"/>
      <c r="D633" s="572"/>
      <c r="E633" s="48"/>
    </row>
    <row r="634">
      <c r="A634" s="48"/>
      <c r="B634" s="395"/>
      <c r="C634" s="48"/>
      <c r="D634" s="572"/>
      <c r="E634" s="48"/>
    </row>
    <row r="635">
      <c r="A635" s="48"/>
      <c r="B635" s="395"/>
      <c r="C635" s="48"/>
      <c r="D635" s="572"/>
      <c r="E635" s="48"/>
    </row>
    <row r="636">
      <c r="A636" s="48"/>
      <c r="B636" s="395"/>
      <c r="C636" s="48"/>
      <c r="D636" s="572"/>
      <c r="E636" s="48"/>
    </row>
    <row r="637">
      <c r="A637" s="48"/>
      <c r="B637" s="395"/>
      <c r="C637" s="48"/>
      <c r="D637" s="572"/>
      <c r="E637" s="48"/>
    </row>
    <row r="638">
      <c r="A638" s="48"/>
      <c r="B638" s="395"/>
      <c r="C638" s="48"/>
      <c r="D638" s="572"/>
      <c r="E638" s="48"/>
    </row>
    <row r="639">
      <c r="A639" s="48"/>
      <c r="B639" s="395"/>
      <c r="C639" s="48"/>
      <c r="D639" s="572"/>
      <c r="E639" s="48"/>
    </row>
    <row r="640">
      <c r="A640" s="48"/>
      <c r="B640" s="395"/>
      <c r="C640" s="48"/>
      <c r="D640" s="572"/>
      <c r="E640" s="48"/>
    </row>
    <row r="641">
      <c r="A641" s="48"/>
      <c r="B641" s="395"/>
      <c r="C641" s="48"/>
      <c r="D641" s="572"/>
      <c r="E641" s="48"/>
    </row>
    <row r="642">
      <c r="A642" s="48"/>
      <c r="B642" s="395"/>
      <c r="C642" s="48"/>
      <c r="D642" s="572"/>
      <c r="E642" s="48"/>
    </row>
    <row r="643">
      <c r="A643" s="48"/>
      <c r="B643" s="395"/>
      <c r="C643" s="48"/>
      <c r="D643" s="572"/>
      <c r="E643" s="48"/>
    </row>
    <row r="644">
      <c r="A644" s="48"/>
      <c r="B644" s="395"/>
      <c r="C644" s="48"/>
      <c r="D644" s="572"/>
      <c r="E644" s="48"/>
    </row>
    <row r="645">
      <c r="A645" s="48"/>
      <c r="B645" s="395"/>
      <c r="C645" s="48"/>
      <c r="D645" s="572"/>
      <c r="E645" s="48"/>
    </row>
    <row r="646">
      <c r="A646" s="48"/>
      <c r="B646" s="395"/>
      <c r="C646" s="48"/>
      <c r="D646" s="572"/>
      <c r="E646" s="48"/>
    </row>
    <row r="647">
      <c r="A647" s="48"/>
      <c r="B647" s="395"/>
      <c r="C647" s="48"/>
      <c r="D647" s="572"/>
      <c r="E647" s="48"/>
    </row>
    <row r="648">
      <c r="A648" s="48"/>
      <c r="B648" s="395"/>
      <c r="C648" s="48"/>
      <c r="D648" s="572"/>
      <c r="E648" s="48"/>
    </row>
    <row r="649">
      <c r="A649" s="48"/>
      <c r="B649" s="395"/>
      <c r="C649" s="48"/>
      <c r="D649" s="572"/>
      <c r="E649" s="48"/>
    </row>
    <row r="650">
      <c r="A650" s="48"/>
      <c r="B650" s="395"/>
      <c r="C650" s="48"/>
      <c r="D650" s="572"/>
      <c r="E650" s="48"/>
    </row>
    <row r="651">
      <c r="A651" s="48"/>
      <c r="B651" s="395"/>
      <c r="C651" s="48"/>
      <c r="D651" s="572"/>
      <c r="E651" s="48"/>
    </row>
    <row r="652">
      <c r="A652" s="48"/>
      <c r="B652" s="395"/>
      <c r="C652" s="48"/>
      <c r="D652" s="572"/>
      <c r="E652" s="48"/>
    </row>
    <row r="653">
      <c r="A653" s="48"/>
      <c r="B653" s="395"/>
      <c r="C653" s="48"/>
      <c r="D653" s="572"/>
      <c r="E653" s="48"/>
    </row>
    <row r="654">
      <c r="A654" s="48"/>
      <c r="B654" s="395"/>
      <c r="C654" s="48"/>
      <c r="D654" s="572"/>
      <c r="E654" s="48"/>
    </row>
    <row r="655">
      <c r="A655" s="48"/>
      <c r="B655" s="395"/>
      <c r="C655" s="48"/>
      <c r="D655" s="572"/>
      <c r="E655" s="48"/>
    </row>
    <row r="656">
      <c r="A656" s="48"/>
      <c r="B656" s="395"/>
      <c r="C656" s="48"/>
      <c r="D656" s="572"/>
      <c r="E656" s="48"/>
    </row>
    <row r="657">
      <c r="A657" s="48"/>
      <c r="B657" s="395"/>
      <c r="C657" s="48"/>
      <c r="D657" s="572"/>
      <c r="E657" s="48"/>
    </row>
    <row r="658">
      <c r="A658" s="48"/>
      <c r="B658" s="395"/>
      <c r="C658" s="48"/>
      <c r="D658" s="572"/>
      <c r="E658" s="48"/>
    </row>
    <row r="659">
      <c r="A659" s="48"/>
      <c r="B659" s="395"/>
      <c r="C659" s="48"/>
      <c r="D659" s="572"/>
      <c r="E659" s="48"/>
    </row>
    <row r="660">
      <c r="A660" s="48"/>
      <c r="B660" s="395"/>
      <c r="C660" s="48"/>
      <c r="D660" s="572"/>
      <c r="E660" s="48"/>
    </row>
    <row r="661">
      <c r="A661" s="48"/>
      <c r="B661" s="395"/>
      <c r="C661" s="48"/>
      <c r="D661" s="572"/>
      <c r="E661" s="48"/>
    </row>
    <row r="662">
      <c r="A662" s="48"/>
      <c r="B662" s="395"/>
      <c r="C662" s="48"/>
      <c r="D662" s="572"/>
      <c r="E662" s="48"/>
    </row>
    <row r="663">
      <c r="A663" s="48"/>
      <c r="B663" s="395"/>
      <c r="C663" s="48"/>
      <c r="D663" s="572"/>
      <c r="E663" s="48"/>
    </row>
    <row r="664">
      <c r="A664" s="48"/>
      <c r="B664" s="395"/>
      <c r="C664" s="48"/>
      <c r="D664" s="572"/>
      <c r="E664" s="48"/>
    </row>
    <row r="665">
      <c r="A665" s="48"/>
      <c r="B665" s="395"/>
      <c r="C665" s="48"/>
      <c r="D665" s="572"/>
      <c r="E665" s="48"/>
    </row>
    <row r="666">
      <c r="A666" s="48"/>
      <c r="B666" s="395"/>
      <c r="C666" s="48"/>
      <c r="D666" s="572"/>
      <c r="E666" s="48"/>
    </row>
    <row r="667">
      <c r="A667" s="48"/>
      <c r="B667" s="395"/>
      <c r="C667" s="48"/>
      <c r="D667" s="572"/>
      <c r="E667" s="48"/>
    </row>
    <row r="668">
      <c r="A668" s="48"/>
      <c r="B668" s="395"/>
      <c r="C668" s="48"/>
      <c r="D668" s="572"/>
      <c r="E668" s="48"/>
    </row>
    <row r="669">
      <c r="A669" s="48"/>
      <c r="B669" s="395"/>
      <c r="C669" s="48"/>
      <c r="D669" s="572"/>
      <c r="E669" s="48"/>
    </row>
    <row r="670">
      <c r="A670" s="48"/>
      <c r="B670" s="395"/>
      <c r="C670" s="48"/>
      <c r="D670" s="572"/>
      <c r="E670" s="48"/>
    </row>
    <row r="671">
      <c r="A671" s="48"/>
      <c r="B671" s="395"/>
      <c r="C671" s="48"/>
      <c r="D671" s="572"/>
      <c r="E671" s="48"/>
    </row>
    <row r="672">
      <c r="A672" s="48"/>
      <c r="B672" s="395"/>
      <c r="C672" s="48"/>
      <c r="D672" s="572"/>
      <c r="E672" s="48"/>
    </row>
    <row r="673">
      <c r="A673" s="48"/>
      <c r="B673" s="395"/>
      <c r="C673" s="48"/>
      <c r="D673" s="572"/>
      <c r="E673" s="48"/>
    </row>
    <row r="674">
      <c r="A674" s="48"/>
      <c r="B674" s="395"/>
      <c r="C674" s="48"/>
      <c r="D674" s="572"/>
      <c r="E674" s="48"/>
    </row>
    <row r="675">
      <c r="A675" s="48"/>
      <c r="B675" s="395"/>
      <c r="C675" s="48"/>
      <c r="D675" s="572"/>
      <c r="E675" s="48"/>
    </row>
    <row r="676">
      <c r="A676" s="48"/>
      <c r="B676" s="395"/>
      <c r="C676" s="48"/>
      <c r="D676" s="572"/>
      <c r="E676" s="48"/>
    </row>
    <row r="677">
      <c r="A677" s="48"/>
      <c r="B677" s="395"/>
      <c r="C677" s="48"/>
      <c r="D677" s="572"/>
      <c r="E677" s="48"/>
    </row>
    <row r="678">
      <c r="A678" s="48"/>
      <c r="B678" s="395"/>
      <c r="C678" s="48"/>
      <c r="D678" s="572"/>
      <c r="E678" s="48"/>
    </row>
    <row r="679">
      <c r="A679" s="48"/>
      <c r="B679" s="395"/>
      <c r="C679" s="48"/>
      <c r="D679" s="572"/>
      <c r="E679" s="48"/>
    </row>
    <row r="680">
      <c r="A680" s="48"/>
      <c r="B680" s="395"/>
      <c r="C680" s="48"/>
      <c r="D680" s="572"/>
      <c r="E680" s="48"/>
    </row>
    <row r="681">
      <c r="A681" s="48"/>
      <c r="B681" s="395"/>
      <c r="C681" s="48"/>
      <c r="D681" s="572"/>
      <c r="E681" s="48"/>
    </row>
    <row r="682">
      <c r="A682" s="48"/>
      <c r="B682" s="395"/>
      <c r="C682" s="48"/>
      <c r="D682" s="572"/>
      <c r="E682" s="48"/>
    </row>
    <row r="683">
      <c r="A683" s="48"/>
      <c r="B683" s="395"/>
      <c r="C683" s="48"/>
      <c r="D683" s="572"/>
      <c r="E683" s="48"/>
    </row>
    <row r="684">
      <c r="A684" s="48"/>
      <c r="B684" s="395"/>
      <c r="C684" s="48"/>
      <c r="D684" s="572"/>
      <c r="E684" s="48"/>
    </row>
    <row r="685">
      <c r="A685" s="48"/>
      <c r="B685" s="395"/>
      <c r="C685" s="48"/>
      <c r="D685" s="572"/>
      <c r="E685" s="48"/>
    </row>
    <row r="686">
      <c r="A686" s="48"/>
      <c r="B686" s="395"/>
      <c r="C686" s="48"/>
      <c r="D686" s="572"/>
      <c r="E686" s="48"/>
    </row>
    <row r="687">
      <c r="A687" s="48"/>
      <c r="B687" s="395"/>
      <c r="C687" s="48"/>
      <c r="D687" s="572"/>
      <c r="E687" s="48"/>
    </row>
    <row r="688">
      <c r="A688" s="48"/>
      <c r="B688" s="395"/>
      <c r="C688" s="48"/>
      <c r="D688" s="572"/>
      <c r="E688" s="48"/>
    </row>
    <row r="689">
      <c r="A689" s="48"/>
      <c r="B689" s="395"/>
      <c r="C689" s="48"/>
      <c r="D689" s="572"/>
      <c r="E689" s="48"/>
    </row>
    <row r="690">
      <c r="A690" s="48"/>
      <c r="B690" s="395"/>
      <c r="C690" s="48"/>
      <c r="D690" s="572"/>
      <c r="E690" s="48"/>
    </row>
    <row r="691">
      <c r="A691" s="48"/>
      <c r="B691" s="395"/>
      <c r="C691" s="48"/>
      <c r="D691" s="572"/>
      <c r="E691" s="48"/>
    </row>
    <row r="692">
      <c r="A692" s="48"/>
      <c r="B692" s="395"/>
      <c r="C692" s="48"/>
      <c r="D692" s="572"/>
      <c r="E692" s="48"/>
    </row>
    <row r="693">
      <c r="A693" s="48"/>
      <c r="B693" s="395"/>
      <c r="C693" s="48"/>
      <c r="D693" s="572"/>
      <c r="E693" s="48"/>
    </row>
    <row r="694">
      <c r="A694" s="48"/>
      <c r="B694" s="395"/>
      <c r="C694" s="48"/>
      <c r="D694" s="572"/>
      <c r="E694" s="48"/>
    </row>
    <row r="695">
      <c r="A695" s="48"/>
      <c r="B695" s="395"/>
      <c r="C695" s="48"/>
      <c r="D695" s="572"/>
      <c r="E695" s="48"/>
    </row>
    <row r="696">
      <c r="A696" s="48"/>
      <c r="B696" s="395"/>
      <c r="C696" s="48"/>
      <c r="D696" s="572"/>
      <c r="E696" s="48"/>
    </row>
    <row r="697">
      <c r="A697" s="48"/>
      <c r="B697" s="395"/>
      <c r="C697" s="48"/>
      <c r="D697" s="572"/>
      <c r="E697" s="48"/>
    </row>
    <row r="698">
      <c r="A698" s="48"/>
      <c r="B698" s="395"/>
      <c r="C698" s="48"/>
      <c r="D698" s="572"/>
      <c r="E698" s="48"/>
    </row>
    <row r="699">
      <c r="A699" s="48"/>
      <c r="B699" s="395"/>
      <c r="C699" s="48"/>
      <c r="D699" s="572"/>
      <c r="E699" s="48"/>
    </row>
    <row r="700">
      <c r="A700" s="48"/>
      <c r="B700" s="395"/>
      <c r="C700" s="48"/>
      <c r="D700" s="572"/>
      <c r="E700" s="48"/>
    </row>
    <row r="701">
      <c r="A701" s="48"/>
      <c r="B701" s="395"/>
      <c r="C701" s="48"/>
      <c r="D701" s="572"/>
      <c r="E701" s="48"/>
    </row>
    <row r="702">
      <c r="A702" s="48"/>
      <c r="B702" s="395"/>
      <c r="C702" s="48"/>
      <c r="D702" s="572"/>
      <c r="E702" s="48"/>
    </row>
    <row r="703">
      <c r="A703" s="48"/>
      <c r="B703" s="395"/>
      <c r="C703" s="48"/>
      <c r="D703" s="572"/>
      <c r="E703" s="48"/>
    </row>
    <row r="704">
      <c r="A704" s="48"/>
      <c r="B704" s="395"/>
      <c r="C704" s="48"/>
      <c r="D704" s="572"/>
      <c r="E704" s="48"/>
    </row>
    <row r="705">
      <c r="A705" s="48"/>
      <c r="B705" s="395"/>
      <c r="C705" s="48"/>
      <c r="D705" s="572"/>
      <c r="E705" s="48"/>
    </row>
    <row r="706">
      <c r="A706" s="48"/>
      <c r="B706" s="395"/>
      <c r="C706" s="48"/>
      <c r="D706" s="572"/>
      <c r="E706" s="48"/>
    </row>
    <row r="707">
      <c r="A707" s="48"/>
      <c r="B707" s="395"/>
      <c r="C707" s="48"/>
      <c r="D707" s="572"/>
      <c r="E707" s="48"/>
    </row>
    <row r="708">
      <c r="A708" s="48"/>
      <c r="B708" s="395"/>
      <c r="C708" s="48"/>
      <c r="D708" s="572"/>
      <c r="E708" s="48"/>
    </row>
    <row r="709">
      <c r="A709" s="48"/>
      <c r="B709" s="395"/>
      <c r="C709" s="48"/>
      <c r="D709" s="572"/>
      <c r="E709" s="48"/>
    </row>
    <row r="710">
      <c r="A710" s="48"/>
      <c r="B710" s="395"/>
      <c r="C710" s="48"/>
      <c r="D710" s="572"/>
      <c r="E710" s="48"/>
    </row>
    <row r="711">
      <c r="A711" s="48"/>
      <c r="B711" s="395"/>
      <c r="C711" s="48"/>
      <c r="D711" s="572"/>
      <c r="E711" s="48"/>
    </row>
    <row r="712">
      <c r="A712" s="48"/>
      <c r="B712" s="395"/>
      <c r="C712" s="48"/>
      <c r="D712" s="572"/>
      <c r="E712" s="48"/>
    </row>
    <row r="713">
      <c r="A713" s="48"/>
      <c r="B713" s="395"/>
      <c r="C713" s="48"/>
      <c r="D713" s="572"/>
      <c r="E713" s="48"/>
    </row>
    <row r="714">
      <c r="A714" s="48"/>
      <c r="B714" s="395"/>
      <c r="C714" s="48"/>
      <c r="D714" s="572"/>
      <c r="E714" s="48"/>
    </row>
    <row r="715">
      <c r="A715" s="48"/>
      <c r="B715" s="395"/>
      <c r="C715" s="48"/>
      <c r="D715" s="572"/>
      <c r="E715" s="48"/>
    </row>
    <row r="716">
      <c r="A716" s="48"/>
      <c r="B716" s="395"/>
      <c r="C716" s="48"/>
      <c r="D716" s="572"/>
      <c r="E716" s="48"/>
    </row>
    <row r="717">
      <c r="A717" s="48"/>
      <c r="B717" s="395"/>
      <c r="C717" s="48"/>
      <c r="D717" s="572"/>
      <c r="E717" s="48"/>
    </row>
    <row r="718">
      <c r="A718" s="48"/>
      <c r="B718" s="395"/>
      <c r="C718" s="48"/>
      <c r="D718" s="572"/>
      <c r="E718" s="48"/>
    </row>
    <row r="719">
      <c r="A719" s="48"/>
      <c r="B719" s="395"/>
      <c r="C719" s="48"/>
      <c r="D719" s="572"/>
      <c r="E719" s="48"/>
    </row>
    <row r="720">
      <c r="A720" s="48"/>
      <c r="B720" s="395"/>
      <c r="C720" s="48"/>
      <c r="D720" s="572"/>
      <c r="E720" s="48"/>
    </row>
    <row r="721">
      <c r="A721" s="48"/>
      <c r="B721" s="395"/>
      <c r="C721" s="48"/>
      <c r="D721" s="572"/>
      <c r="E721" s="48"/>
    </row>
    <row r="722">
      <c r="A722" s="48"/>
      <c r="B722" s="395"/>
      <c r="C722" s="48"/>
      <c r="D722" s="572"/>
      <c r="E722" s="48"/>
    </row>
    <row r="723">
      <c r="A723" s="48"/>
      <c r="B723" s="395"/>
      <c r="C723" s="48"/>
      <c r="D723" s="572"/>
      <c r="E723" s="48"/>
    </row>
    <row r="724">
      <c r="A724" s="48"/>
      <c r="B724" s="395"/>
      <c r="C724" s="48"/>
      <c r="D724" s="572"/>
      <c r="E724" s="48"/>
    </row>
    <row r="725">
      <c r="A725" s="48"/>
      <c r="B725" s="395"/>
      <c r="C725" s="48"/>
      <c r="D725" s="572"/>
      <c r="E725" s="48"/>
    </row>
    <row r="726">
      <c r="A726" s="48"/>
      <c r="B726" s="395"/>
      <c r="C726" s="48"/>
      <c r="D726" s="572"/>
      <c r="E726" s="48"/>
    </row>
    <row r="727">
      <c r="A727" s="48"/>
      <c r="B727" s="395"/>
      <c r="C727" s="48"/>
      <c r="D727" s="572"/>
      <c r="E727" s="48"/>
    </row>
    <row r="728">
      <c r="A728" s="48"/>
      <c r="B728" s="395"/>
      <c r="C728" s="48"/>
      <c r="D728" s="572"/>
      <c r="E728" s="48"/>
    </row>
    <row r="729">
      <c r="A729" s="48"/>
      <c r="B729" s="395"/>
      <c r="C729" s="48"/>
      <c r="D729" s="572"/>
      <c r="E729" s="48"/>
    </row>
    <row r="730">
      <c r="A730" s="48"/>
      <c r="B730" s="395"/>
      <c r="C730" s="48"/>
      <c r="D730" s="572"/>
      <c r="E730" s="48"/>
    </row>
    <row r="731">
      <c r="A731" s="48"/>
      <c r="B731" s="395"/>
      <c r="C731" s="48"/>
      <c r="D731" s="572"/>
      <c r="E731" s="48"/>
    </row>
    <row r="732">
      <c r="A732" s="48"/>
      <c r="B732" s="395"/>
      <c r="C732" s="48"/>
      <c r="D732" s="572"/>
      <c r="E732" s="48"/>
    </row>
    <row r="733">
      <c r="A733" s="48"/>
      <c r="B733" s="395"/>
      <c r="C733" s="48"/>
      <c r="D733" s="572"/>
      <c r="E733" s="48"/>
    </row>
    <row r="734">
      <c r="A734" s="48"/>
      <c r="B734" s="395"/>
      <c r="C734" s="48"/>
      <c r="D734" s="572"/>
      <c r="E734" s="48"/>
    </row>
    <row r="735">
      <c r="A735" s="48"/>
      <c r="B735" s="395"/>
      <c r="C735" s="48"/>
      <c r="D735" s="572"/>
      <c r="E735" s="48"/>
    </row>
    <row r="736">
      <c r="A736" s="48"/>
      <c r="B736" s="395"/>
      <c r="C736" s="48"/>
      <c r="D736" s="572"/>
      <c r="E736" s="48"/>
    </row>
    <row r="737">
      <c r="A737" s="48"/>
      <c r="B737" s="395"/>
      <c r="C737" s="48"/>
      <c r="D737" s="572"/>
      <c r="E737" s="48"/>
    </row>
    <row r="738">
      <c r="A738" s="48"/>
      <c r="B738" s="395"/>
      <c r="C738" s="48"/>
      <c r="D738" s="572"/>
      <c r="E738" s="48"/>
    </row>
    <row r="739">
      <c r="A739" s="48"/>
      <c r="B739" s="395"/>
      <c r="C739" s="48"/>
      <c r="D739" s="572"/>
      <c r="E739" s="48"/>
    </row>
    <row r="740">
      <c r="A740" s="48"/>
      <c r="B740" s="395"/>
      <c r="C740" s="48"/>
      <c r="D740" s="572"/>
      <c r="E740" s="48"/>
    </row>
    <row r="741">
      <c r="A741" s="48"/>
      <c r="B741" s="395"/>
      <c r="C741" s="48"/>
      <c r="D741" s="572"/>
      <c r="E741" s="48"/>
    </row>
    <row r="742">
      <c r="A742" s="48"/>
      <c r="B742" s="395"/>
      <c r="C742" s="48"/>
      <c r="D742" s="572"/>
      <c r="E742" s="48"/>
    </row>
    <row r="743">
      <c r="A743" s="48"/>
      <c r="B743" s="395"/>
      <c r="C743" s="48"/>
      <c r="D743" s="572"/>
      <c r="E743" s="48"/>
    </row>
    <row r="744">
      <c r="A744" s="48"/>
      <c r="B744" s="395"/>
      <c r="C744" s="48"/>
      <c r="D744" s="572"/>
      <c r="E744" s="48"/>
    </row>
    <row r="745">
      <c r="A745" s="48"/>
      <c r="B745" s="395"/>
      <c r="C745" s="48"/>
      <c r="D745" s="572"/>
      <c r="E745" s="48"/>
    </row>
    <row r="746">
      <c r="A746" s="48"/>
      <c r="B746" s="395"/>
      <c r="C746" s="48"/>
      <c r="D746" s="572"/>
      <c r="E746" s="48"/>
    </row>
    <row r="747">
      <c r="A747" s="48"/>
      <c r="B747" s="395"/>
      <c r="C747" s="48"/>
      <c r="D747" s="572"/>
      <c r="E747" s="48"/>
    </row>
    <row r="748">
      <c r="A748" s="48"/>
      <c r="B748" s="395"/>
      <c r="C748" s="48"/>
      <c r="D748" s="572"/>
      <c r="E748" s="48"/>
    </row>
    <row r="749">
      <c r="A749" s="48"/>
      <c r="B749" s="395"/>
      <c r="C749" s="48"/>
      <c r="D749" s="572"/>
      <c r="E749" s="48"/>
    </row>
    <row r="750">
      <c r="A750" s="48"/>
      <c r="B750" s="395"/>
      <c r="C750" s="48"/>
      <c r="D750" s="572"/>
      <c r="E750" s="48"/>
    </row>
    <row r="751">
      <c r="A751" s="48"/>
      <c r="B751" s="395"/>
      <c r="C751" s="48"/>
      <c r="D751" s="572"/>
      <c r="E751" s="48"/>
    </row>
    <row r="752">
      <c r="A752" s="48"/>
      <c r="B752" s="395"/>
      <c r="C752" s="48"/>
      <c r="D752" s="572"/>
      <c r="E752" s="48"/>
    </row>
    <row r="753">
      <c r="A753" s="48"/>
      <c r="B753" s="395"/>
      <c r="C753" s="48"/>
      <c r="D753" s="572"/>
      <c r="E753" s="48"/>
    </row>
    <row r="754">
      <c r="A754" s="48"/>
      <c r="B754" s="395"/>
      <c r="C754" s="48"/>
      <c r="D754" s="572"/>
      <c r="E754" s="48"/>
    </row>
    <row r="755">
      <c r="A755" s="48"/>
      <c r="B755" s="395"/>
      <c r="C755" s="48"/>
      <c r="D755" s="572"/>
      <c r="E755" s="48"/>
    </row>
    <row r="756">
      <c r="A756" s="48"/>
      <c r="B756" s="395"/>
      <c r="C756" s="48"/>
      <c r="D756" s="572"/>
      <c r="E756" s="48"/>
    </row>
    <row r="757">
      <c r="A757" s="48"/>
      <c r="B757" s="395"/>
      <c r="C757" s="48"/>
      <c r="D757" s="572"/>
      <c r="E757" s="48"/>
    </row>
    <row r="758">
      <c r="A758" s="48"/>
      <c r="B758" s="395"/>
      <c r="C758" s="48"/>
      <c r="D758" s="572"/>
      <c r="E758" s="48"/>
    </row>
    <row r="759">
      <c r="A759" s="48"/>
      <c r="B759" s="395"/>
      <c r="C759" s="48"/>
      <c r="D759" s="572"/>
      <c r="E759" s="48"/>
    </row>
    <row r="760">
      <c r="A760" s="48"/>
      <c r="B760" s="395"/>
      <c r="C760" s="48"/>
      <c r="D760" s="572"/>
      <c r="E760" s="48"/>
    </row>
    <row r="761">
      <c r="A761" s="48"/>
      <c r="B761" s="395"/>
      <c r="C761" s="48"/>
      <c r="D761" s="572"/>
      <c r="E761" s="48"/>
    </row>
    <row r="762">
      <c r="A762" s="48"/>
      <c r="B762" s="395"/>
      <c r="C762" s="48"/>
      <c r="D762" s="572"/>
      <c r="E762" s="48"/>
    </row>
    <row r="763">
      <c r="A763" s="48"/>
      <c r="B763" s="395"/>
      <c r="C763" s="48"/>
      <c r="D763" s="572"/>
      <c r="E763" s="48"/>
    </row>
    <row r="764">
      <c r="A764" s="48"/>
      <c r="B764" s="395"/>
      <c r="C764" s="48"/>
      <c r="D764" s="572"/>
      <c r="E764" s="48"/>
    </row>
    <row r="765">
      <c r="A765" s="48"/>
      <c r="B765" s="395"/>
      <c r="C765" s="48"/>
      <c r="D765" s="572"/>
      <c r="E765" s="48"/>
    </row>
    <row r="766">
      <c r="A766" s="48"/>
      <c r="B766" s="395"/>
      <c r="C766" s="48"/>
      <c r="D766" s="572"/>
      <c r="E766" s="48"/>
    </row>
    <row r="767">
      <c r="A767" s="48"/>
      <c r="B767" s="395"/>
      <c r="C767" s="48"/>
      <c r="D767" s="572"/>
      <c r="E767" s="48"/>
    </row>
    <row r="768">
      <c r="A768" s="48"/>
      <c r="B768" s="395"/>
      <c r="C768" s="48"/>
      <c r="D768" s="572"/>
      <c r="E768" s="48"/>
    </row>
    <row r="769">
      <c r="A769" s="48"/>
      <c r="B769" s="395"/>
      <c r="C769" s="48"/>
      <c r="D769" s="572"/>
      <c r="E769" s="48"/>
    </row>
    <row r="770">
      <c r="A770" s="48"/>
      <c r="B770" s="395"/>
      <c r="C770" s="48"/>
      <c r="D770" s="572"/>
      <c r="E770" s="48"/>
    </row>
    <row r="771">
      <c r="A771" s="48"/>
      <c r="B771" s="395"/>
      <c r="C771" s="48"/>
      <c r="D771" s="572"/>
      <c r="E771" s="48"/>
    </row>
    <row r="772">
      <c r="A772" s="48"/>
      <c r="B772" s="395"/>
      <c r="C772" s="48"/>
      <c r="D772" s="572"/>
      <c r="E772" s="48"/>
    </row>
    <row r="773">
      <c r="A773" s="48"/>
      <c r="B773" s="395"/>
      <c r="C773" s="48"/>
      <c r="D773" s="572"/>
      <c r="E773" s="48"/>
    </row>
    <row r="774">
      <c r="A774" s="48"/>
      <c r="B774" s="395"/>
      <c r="C774" s="48"/>
      <c r="D774" s="572"/>
      <c r="E774" s="48"/>
    </row>
    <row r="775">
      <c r="A775" s="48"/>
      <c r="B775" s="395"/>
      <c r="C775" s="48"/>
      <c r="D775" s="572"/>
      <c r="E775" s="48"/>
    </row>
    <row r="776">
      <c r="A776" s="48"/>
      <c r="B776" s="395"/>
      <c r="C776" s="48"/>
      <c r="D776" s="572"/>
      <c r="E776" s="48"/>
    </row>
    <row r="777">
      <c r="A777" s="48"/>
      <c r="B777" s="395"/>
      <c r="C777" s="48"/>
      <c r="D777" s="572"/>
      <c r="E777" s="48"/>
    </row>
    <row r="778">
      <c r="A778" s="48"/>
      <c r="B778" s="395"/>
      <c r="C778" s="48"/>
      <c r="D778" s="572"/>
      <c r="E778" s="48"/>
    </row>
    <row r="779">
      <c r="A779" s="48"/>
      <c r="B779" s="395"/>
      <c r="C779" s="48"/>
      <c r="D779" s="572"/>
      <c r="E779" s="48"/>
    </row>
    <row r="780">
      <c r="A780" s="48"/>
      <c r="B780" s="395"/>
      <c r="C780" s="48"/>
      <c r="D780" s="572"/>
      <c r="E780" s="48"/>
    </row>
    <row r="781">
      <c r="A781" s="48"/>
      <c r="B781" s="395"/>
      <c r="C781" s="48"/>
      <c r="D781" s="572"/>
      <c r="E781" s="48"/>
    </row>
    <row r="782">
      <c r="A782" s="48"/>
      <c r="B782" s="395"/>
      <c r="C782" s="48"/>
      <c r="D782" s="572"/>
      <c r="E782" s="48"/>
    </row>
    <row r="783">
      <c r="A783" s="48"/>
      <c r="B783" s="395"/>
      <c r="C783" s="48"/>
      <c r="D783" s="572"/>
      <c r="E783" s="48"/>
    </row>
    <row r="784">
      <c r="A784" s="48"/>
      <c r="B784" s="395"/>
      <c r="C784" s="48"/>
      <c r="D784" s="572"/>
      <c r="E784" s="48"/>
    </row>
    <row r="785">
      <c r="A785" s="48"/>
      <c r="B785" s="395"/>
      <c r="C785" s="48"/>
      <c r="D785" s="572"/>
      <c r="E785" s="48"/>
    </row>
    <row r="786">
      <c r="A786" s="48"/>
      <c r="B786" s="395"/>
      <c r="C786" s="48"/>
      <c r="D786" s="572"/>
      <c r="E786" s="48"/>
    </row>
    <row r="787">
      <c r="A787" s="48"/>
      <c r="B787" s="395"/>
      <c r="C787" s="48"/>
      <c r="D787" s="572"/>
      <c r="E787" s="48"/>
    </row>
    <row r="788">
      <c r="A788" s="48"/>
      <c r="B788" s="395"/>
      <c r="C788" s="48"/>
      <c r="D788" s="572"/>
      <c r="E788" s="48"/>
    </row>
    <row r="789">
      <c r="A789" s="48"/>
      <c r="B789" s="395"/>
      <c r="C789" s="48"/>
      <c r="D789" s="572"/>
      <c r="E789" s="48"/>
    </row>
    <row r="790">
      <c r="A790" s="48"/>
      <c r="B790" s="395"/>
      <c r="C790" s="48"/>
      <c r="D790" s="572"/>
      <c r="E790" s="48"/>
    </row>
    <row r="791">
      <c r="A791" s="48"/>
      <c r="B791" s="395"/>
      <c r="C791" s="48"/>
      <c r="D791" s="572"/>
      <c r="E791" s="48"/>
    </row>
    <row r="792">
      <c r="A792" s="48"/>
      <c r="B792" s="395"/>
      <c r="C792" s="48"/>
      <c r="D792" s="572"/>
      <c r="E792" s="48"/>
    </row>
    <row r="793">
      <c r="A793" s="48"/>
      <c r="B793" s="395"/>
      <c r="C793" s="48"/>
      <c r="D793" s="572"/>
      <c r="E793" s="48"/>
    </row>
    <row r="794">
      <c r="A794" s="48"/>
      <c r="B794" s="395"/>
      <c r="C794" s="48"/>
      <c r="D794" s="572"/>
      <c r="E794" s="48"/>
    </row>
    <row r="795">
      <c r="A795" s="48"/>
      <c r="B795" s="395"/>
      <c r="C795" s="48"/>
      <c r="D795" s="572"/>
      <c r="E795" s="48"/>
    </row>
    <row r="796">
      <c r="A796" s="48"/>
      <c r="B796" s="395"/>
      <c r="C796" s="48"/>
      <c r="D796" s="572"/>
      <c r="E796" s="48"/>
    </row>
    <row r="797">
      <c r="A797" s="48"/>
      <c r="B797" s="395"/>
      <c r="C797" s="48"/>
      <c r="D797" s="572"/>
      <c r="E797" s="48"/>
    </row>
    <row r="798">
      <c r="A798" s="48"/>
      <c r="B798" s="395"/>
      <c r="C798" s="48"/>
      <c r="D798" s="572"/>
      <c r="E798" s="48"/>
    </row>
    <row r="799">
      <c r="A799" s="48"/>
      <c r="B799" s="395"/>
      <c r="C799" s="48"/>
      <c r="D799" s="572"/>
      <c r="E799" s="48"/>
    </row>
    <row r="800">
      <c r="A800" s="48"/>
      <c r="B800" s="395"/>
      <c r="C800" s="48"/>
      <c r="D800" s="572"/>
      <c r="E800" s="48"/>
    </row>
    <row r="801">
      <c r="A801" s="48"/>
      <c r="B801" s="395"/>
      <c r="C801" s="48"/>
      <c r="D801" s="572"/>
      <c r="E801" s="48"/>
    </row>
    <row r="802">
      <c r="A802" s="48"/>
      <c r="B802" s="395"/>
      <c r="C802" s="48"/>
      <c r="D802" s="572"/>
      <c r="E802" s="48"/>
    </row>
    <row r="803">
      <c r="A803" s="48"/>
      <c r="B803" s="395"/>
      <c r="C803" s="48"/>
      <c r="D803" s="572"/>
      <c r="E803" s="48"/>
    </row>
    <row r="804">
      <c r="A804" s="48"/>
      <c r="B804" s="395"/>
      <c r="C804" s="48"/>
      <c r="D804" s="572"/>
      <c r="E804" s="48"/>
    </row>
    <row r="805">
      <c r="A805" s="48"/>
      <c r="B805" s="395"/>
      <c r="C805" s="48"/>
      <c r="D805" s="572"/>
      <c r="E805" s="48"/>
    </row>
    <row r="806">
      <c r="A806" s="48"/>
      <c r="B806" s="395"/>
      <c r="C806" s="48"/>
      <c r="D806" s="572"/>
      <c r="E806" s="48"/>
    </row>
    <row r="807">
      <c r="A807" s="48"/>
      <c r="B807" s="395"/>
      <c r="C807" s="48"/>
      <c r="D807" s="572"/>
      <c r="E807" s="48"/>
    </row>
    <row r="808">
      <c r="A808" s="48"/>
      <c r="B808" s="395"/>
      <c r="C808" s="48"/>
      <c r="D808" s="572"/>
      <c r="E808" s="48"/>
    </row>
    <row r="809">
      <c r="A809" s="48"/>
      <c r="B809" s="395"/>
      <c r="C809" s="48"/>
      <c r="D809" s="572"/>
      <c r="E809" s="48"/>
    </row>
    <row r="810">
      <c r="A810" s="48"/>
      <c r="B810" s="395"/>
      <c r="C810" s="48"/>
      <c r="D810" s="572"/>
      <c r="E810" s="48"/>
    </row>
    <row r="811">
      <c r="A811" s="48"/>
      <c r="B811" s="395"/>
      <c r="C811" s="48"/>
      <c r="D811" s="572"/>
      <c r="E811" s="48"/>
    </row>
    <row r="812">
      <c r="A812" s="48"/>
      <c r="B812" s="395"/>
      <c r="C812" s="48"/>
      <c r="D812" s="572"/>
      <c r="E812" s="48"/>
    </row>
    <row r="813">
      <c r="A813" s="48"/>
      <c r="B813" s="395"/>
      <c r="C813" s="48"/>
      <c r="D813" s="572"/>
      <c r="E813" s="48"/>
    </row>
    <row r="814">
      <c r="A814" s="48"/>
      <c r="B814" s="395"/>
      <c r="C814" s="48"/>
      <c r="D814" s="572"/>
      <c r="E814" s="48"/>
    </row>
    <row r="815">
      <c r="A815" s="48"/>
      <c r="B815" s="395"/>
      <c r="C815" s="48"/>
      <c r="D815" s="572"/>
      <c r="E815" s="48"/>
    </row>
    <row r="816">
      <c r="A816" s="48"/>
      <c r="B816" s="395"/>
      <c r="C816" s="48"/>
      <c r="D816" s="572"/>
      <c r="E816" s="48"/>
    </row>
    <row r="817">
      <c r="A817" s="48"/>
      <c r="B817" s="395"/>
      <c r="C817" s="48"/>
      <c r="D817" s="572"/>
      <c r="E817" s="48"/>
    </row>
    <row r="818">
      <c r="A818" s="48"/>
      <c r="B818" s="395"/>
      <c r="C818" s="48"/>
      <c r="D818" s="572"/>
      <c r="E818" s="48"/>
    </row>
    <row r="819">
      <c r="A819" s="48"/>
      <c r="B819" s="395"/>
      <c r="C819" s="48"/>
      <c r="D819" s="572"/>
      <c r="E819" s="48"/>
    </row>
    <row r="820">
      <c r="A820" s="48"/>
      <c r="B820" s="395"/>
      <c r="C820" s="48"/>
      <c r="D820" s="572"/>
      <c r="E820" s="48"/>
    </row>
    <row r="821">
      <c r="A821" s="48"/>
      <c r="B821" s="395"/>
      <c r="C821" s="48"/>
      <c r="D821" s="572"/>
      <c r="E821" s="48"/>
    </row>
    <row r="822">
      <c r="A822" s="48"/>
      <c r="B822" s="395"/>
      <c r="C822" s="48"/>
      <c r="D822" s="572"/>
      <c r="E822" s="48"/>
    </row>
    <row r="823">
      <c r="A823" s="48"/>
      <c r="B823" s="395"/>
      <c r="C823" s="48"/>
      <c r="D823" s="572"/>
      <c r="E823" s="48"/>
    </row>
    <row r="824">
      <c r="A824" s="48"/>
      <c r="B824" s="395"/>
      <c r="C824" s="48"/>
      <c r="D824" s="572"/>
      <c r="E824" s="48"/>
    </row>
    <row r="825">
      <c r="A825" s="48"/>
      <c r="B825" s="395"/>
      <c r="C825" s="48"/>
      <c r="D825" s="572"/>
      <c r="E825" s="48"/>
    </row>
    <row r="826">
      <c r="A826" s="48"/>
      <c r="B826" s="395"/>
      <c r="C826" s="48"/>
      <c r="D826" s="572"/>
      <c r="E826" s="48"/>
    </row>
    <row r="827">
      <c r="A827" s="48"/>
      <c r="B827" s="395"/>
      <c r="C827" s="48"/>
      <c r="D827" s="572"/>
      <c r="E827" s="48"/>
    </row>
    <row r="828">
      <c r="A828" s="48"/>
      <c r="B828" s="395"/>
      <c r="C828" s="48"/>
      <c r="D828" s="572"/>
      <c r="E828" s="48"/>
    </row>
    <row r="829">
      <c r="A829" s="48"/>
      <c r="B829" s="395"/>
      <c r="C829" s="48"/>
      <c r="D829" s="572"/>
      <c r="E829" s="48"/>
    </row>
    <row r="830">
      <c r="A830" s="48"/>
      <c r="B830" s="395"/>
      <c r="C830" s="48"/>
      <c r="D830" s="572"/>
      <c r="E830" s="48"/>
    </row>
    <row r="831">
      <c r="A831" s="48"/>
      <c r="B831" s="395"/>
      <c r="C831" s="48"/>
      <c r="D831" s="572"/>
      <c r="E831" s="48"/>
    </row>
    <row r="832">
      <c r="A832" s="48"/>
      <c r="B832" s="395"/>
      <c r="C832" s="48"/>
      <c r="D832" s="572"/>
      <c r="E832" s="48"/>
    </row>
    <row r="833">
      <c r="A833" s="48"/>
      <c r="B833" s="395"/>
      <c r="C833" s="48"/>
      <c r="D833" s="572"/>
      <c r="E833" s="48"/>
    </row>
    <row r="834">
      <c r="A834" s="48"/>
      <c r="B834" s="395"/>
      <c r="C834" s="48"/>
      <c r="D834" s="572"/>
      <c r="E834" s="48"/>
    </row>
    <row r="835">
      <c r="A835" s="48"/>
      <c r="B835" s="395"/>
      <c r="C835" s="48"/>
      <c r="D835" s="572"/>
      <c r="E835" s="48"/>
    </row>
    <row r="836">
      <c r="A836" s="48"/>
      <c r="B836" s="395"/>
      <c r="C836" s="48"/>
      <c r="D836" s="572"/>
      <c r="E836" s="48"/>
    </row>
    <row r="837">
      <c r="A837" s="48"/>
      <c r="B837" s="395"/>
      <c r="C837" s="48"/>
      <c r="D837" s="572"/>
      <c r="E837" s="48"/>
    </row>
    <row r="838">
      <c r="A838" s="48"/>
      <c r="B838" s="395"/>
      <c r="C838" s="48"/>
      <c r="D838" s="572"/>
      <c r="E838" s="48"/>
    </row>
    <row r="839">
      <c r="A839" s="48"/>
      <c r="B839" s="395"/>
      <c r="C839" s="48"/>
      <c r="D839" s="572"/>
      <c r="E839" s="48"/>
    </row>
    <row r="840">
      <c r="A840" s="48"/>
      <c r="B840" s="395"/>
      <c r="C840" s="48"/>
      <c r="D840" s="572"/>
      <c r="E840" s="48"/>
    </row>
    <row r="841">
      <c r="A841" s="48"/>
      <c r="B841" s="395"/>
      <c r="C841" s="48"/>
      <c r="D841" s="572"/>
      <c r="E841" s="48"/>
    </row>
    <row r="842">
      <c r="A842" s="48"/>
      <c r="B842" s="395"/>
      <c r="C842" s="48"/>
      <c r="D842" s="572"/>
      <c r="E842" s="48"/>
    </row>
    <row r="843">
      <c r="A843" s="48"/>
      <c r="B843" s="395"/>
      <c r="C843" s="48"/>
      <c r="D843" s="572"/>
      <c r="E843" s="48"/>
    </row>
    <row r="844">
      <c r="A844" s="48"/>
      <c r="B844" s="395"/>
      <c r="C844" s="48"/>
      <c r="D844" s="572"/>
      <c r="E844" s="48"/>
    </row>
    <row r="845">
      <c r="A845" s="48"/>
      <c r="B845" s="395"/>
      <c r="C845" s="48"/>
      <c r="D845" s="572"/>
      <c r="E845" s="48"/>
    </row>
    <row r="846">
      <c r="A846" s="48"/>
      <c r="B846" s="395"/>
      <c r="C846" s="48"/>
      <c r="D846" s="572"/>
      <c r="E846" s="48"/>
    </row>
    <row r="847">
      <c r="A847" s="48"/>
      <c r="B847" s="395"/>
      <c r="C847" s="48"/>
      <c r="D847" s="572"/>
      <c r="E847" s="48"/>
    </row>
    <row r="848">
      <c r="A848" s="48"/>
      <c r="B848" s="395"/>
      <c r="C848" s="48"/>
      <c r="D848" s="572"/>
      <c r="E848" s="48"/>
    </row>
    <row r="849">
      <c r="A849" s="48"/>
      <c r="B849" s="395"/>
      <c r="C849" s="48"/>
      <c r="D849" s="572"/>
      <c r="E849" s="48"/>
    </row>
    <row r="850">
      <c r="A850" s="48"/>
      <c r="B850" s="395"/>
      <c r="C850" s="48"/>
      <c r="D850" s="572"/>
      <c r="E850" s="48"/>
    </row>
    <row r="851">
      <c r="A851" s="48"/>
      <c r="B851" s="395"/>
      <c r="C851" s="48"/>
      <c r="D851" s="572"/>
      <c r="E851" s="48"/>
    </row>
    <row r="852">
      <c r="A852" s="48"/>
      <c r="B852" s="395"/>
      <c r="C852" s="48"/>
      <c r="D852" s="572"/>
      <c r="E852" s="48"/>
    </row>
    <row r="853">
      <c r="A853" s="48"/>
      <c r="B853" s="395"/>
      <c r="C853" s="48"/>
      <c r="D853" s="572"/>
      <c r="E853" s="48"/>
    </row>
    <row r="854">
      <c r="A854" s="48"/>
      <c r="B854" s="395"/>
      <c r="C854" s="48"/>
      <c r="D854" s="572"/>
      <c r="E854" s="48"/>
    </row>
    <row r="855">
      <c r="A855" s="48"/>
      <c r="B855" s="395"/>
      <c r="C855" s="48"/>
      <c r="D855" s="572"/>
      <c r="E855" s="48"/>
    </row>
    <row r="856">
      <c r="A856" s="48"/>
      <c r="B856" s="395"/>
      <c r="C856" s="48"/>
      <c r="D856" s="572"/>
      <c r="E856" s="48"/>
    </row>
    <row r="857">
      <c r="A857" s="48"/>
      <c r="B857" s="395"/>
      <c r="C857" s="48"/>
      <c r="D857" s="572"/>
      <c r="E857" s="48"/>
    </row>
    <row r="858">
      <c r="A858" s="48"/>
      <c r="B858" s="395"/>
      <c r="C858" s="48"/>
      <c r="D858" s="572"/>
      <c r="E858" s="48"/>
    </row>
    <row r="859">
      <c r="A859" s="48"/>
      <c r="B859" s="395"/>
      <c r="C859" s="48"/>
      <c r="D859" s="572"/>
      <c r="E859" s="48"/>
    </row>
    <row r="860">
      <c r="A860" s="48"/>
      <c r="B860" s="395"/>
      <c r="C860" s="48"/>
      <c r="D860" s="572"/>
      <c r="E860" s="48"/>
    </row>
    <row r="861">
      <c r="A861" s="48"/>
      <c r="B861" s="395"/>
      <c r="C861" s="48"/>
      <c r="D861" s="572"/>
      <c r="E861" s="48"/>
    </row>
    <row r="862">
      <c r="A862" s="48"/>
      <c r="B862" s="395"/>
      <c r="C862" s="48"/>
      <c r="D862" s="572"/>
      <c r="E862" s="48"/>
    </row>
    <row r="863">
      <c r="A863" s="48"/>
      <c r="B863" s="395"/>
      <c r="C863" s="48"/>
      <c r="D863" s="572"/>
      <c r="E863" s="48"/>
    </row>
    <row r="864">
      <c r="A864" s="48"/>
      <c r="B864" s="395"/>
      <c r="C864" s="48"/>
      <c r="D864" s="572"/>
      <c r="E864" s="48"/>
    </row>
    <row r="865">
      <c r="A865" s="48"/>
      <c r="B865" s="395"/>
      <c r="C865" s="48"/>
      <c r="D865" s="572"/>
      <c r="E865" s="48"/>
    </row>
    <row r="866">
      <c r="A866" s="48"/>
      <c r="B866" s="395"/>
      <c r="C866" s="48"/>
      <c r="D866" s="572"/>
      <c r="E866" s="48"/>
    </row>
    <row r="867">
      <c r="A867" s="48"/>
      <c r="B867" s="395"/>
      <c r="C867" s="48"/>
      <c r="D867" s="572"/>
      <c r="E867" s="48"/>
    </row>
    <row r="868">
      <c r="A868" s="48"/>
      <c r="B868" s="395"/>
      <c r="C868" s="48"/>
      <c r="D868" s="572"/>
      <c r="E868" s="48"/>
    </row>
    <row r="869">
      <c r="A869" s="48"/>
      <c r="B869" s="395"/>
      <c r="C869" s="48"/>
      <c r="D869" s="572"/>
      <c r="E869" s="48"/>
    </row>
    <row r="870">
      <c r="A870" s="48"/>
      <c r="B870" s="395"/>
      <c r="C870" s="48"/>
      <c r="D870" s="572"/>
      <c r="E870" s="48"/>
    </row>
    <row r="871">
      <c r="A871" s="48"/>
      <c r="B871" s="395"/>
      <c r="C871" s="48"/>
      <c r="D871" s="572"/>
      <c r="E871" s="48"/>
    </row>
    <row r="872">
      <c r="A872" s="48"/>
      <c r="B872" s="395"/>
      <c r="C872" s="48"/>
      <c r="D872" s="572"/>
      <c r="E872" s="48"/>
    </row>
    <row r="873">
      <c r="A873" s="48"/>
      <c r="B873" s="395"/>
      <c r="C873" s="48"/>
      <c r="D873" s="572"/>
      <c r="E873" s="48"/>
    </row>
    <row r="874">
      <c r="A874" s="48"/>
      <c r="B874" s="395"/>
      <c r="C874" s="48"/>
      <c r="D874" s="572"/>
      <c r="E874" s="48"/>
    </row>
    <row r="875">
      <c r="A875" s="48"/>
      <c r="B875" s="395"/>
      <c r="C875" s="48"/>
      <c r="D875" s="572"/>
      <c r="E875" s="48"/>
    </row>
    <row r="876">
      <c r="A876" s="48"/>
      <c r="B876" s="395"/>
      <c r="C876" s="48"/>
      <c r="D876" s="572"/>
      <c r="E876" s="48"/>
    </row>
    <row r="877">
      <c r="A877" s="48"/>
      <c r="B877" s="395"/>
      <c r="C877" s="48"/>
      <c r="D877" s="572"/>
      <c r="E877" s="48"/>
    </row>
    <row r="878">
      <c r="A878" s="48"/>
      <c r="B878" s="395"/>
      <c r="C878" s="48"/>
      <c r="D878" s="572"/>
      <c r="E878" s="48"/>
    </row>
    <row r="879">
      <c r="A879" s="48"/>
      <c r="B879" s="395"/>
      <c r="C879" s="48"/>
      <c r="D879" s="572"/>
      <c r="E879" s="48"/>
    </row>
    <row r="880">
      <c r="A880" s="48"/>
      <c r="B880" s="395"/>
      <c r="C880" s="48"/>
      <c r="D880" s="572"/>
      <c r="E880" s="48"/>
    </row>
    <row r="881">
      <c r="A881" s="48"/>
      <c r="B881" s="395"/>
      <c r="C881" s="48"/>
      <c r="D881" s="572"/>
      <c r="E881" s="48"/>
    </row>
    <row r="882">
      <c r="A882" s="48"/>
      <c r="B882" s="395"/>
      <c r="C882" s="48"/>
      <c r="D882" s="572"/>
      <c r="E882" s="48"/>
    </row>
    <row r="883">
      <c r="A883" s="48"/>
      <c r="B883" s="395"/>
      <c r="C883" s="48"/>
      <c r="D883" s="572"/>
      <c r="E883" s="48"/>
    </row>
    <row r="884">
      <c r="A884" s="48"/>
      <c r="B884" s="395"/>
      <c r="C884" s="48"/>
      <c r="D884" s="572"/>
      <c r="E884" s="48"/>
    </row>
    <row r="885">
      <c r="A885" s="48"/>
      <c r="B885" s="395"/>
      <c r="C885" s="48"/>
      <c r="D885" s="572"/>
      <c r="E885" s="48"/>
    </row>
    <row r="886">
      <c r="A886" s="48"/>
      <c r="B886" s="395"/>
      <c r="C886" s="48"/>
      <c r="D886" s="572"/>
      <c r="E886" s="48"/>
    </row>
    <row r="887">
      <c r="A887" s="48"/>
      <c r="B887" s="395"/>
      <c r="C887" s="48"/>
      <c r="D887" s="572"/>
      <c r="E887" s="48"/>
    </row>
    <row r="888">
      <c r="A888" s="48"/>
      <c r="B888" s="395"/>
      <c r="C888" s="48"/>
      <c r="D888" s="572"/>
      <c r="E888" s="48"/>
    </row>
    <row r="889">
      <c r="A889" s="48"/>
      <c r="B889" s="395"/>
      <c r="C889" s="48"/>
      <c r="D889" s="572"/>
      <c r="E889" s="48"/>
    </row>
    <row r="890">
      <c r="A890" s="48"/>
      <c r="B890" s="395"/>
      <c r="C890" s="48"/>
      <c r="D890" s="572"/>
      <c r="E890" s="48"/>
    </row>
    <row r="891">
      <c r="A891" s="48"/>
      <c r="B891" s="395"/>
      <c r="C891" s="48"/>
      <c r="D891" s="572"/>
      <c r="E891" s="48"/>
    </row>
    <row r="892">
      <c r="A892" s="48"/>
      <c r="B892" s="395"/>
      <c r="C892" s="48"/>
      <c r="D892" s="572"/>
      <c r="E892" s="48"/>
    </row>
  </sheetData>
  <autoFilter ref="$A$1:$W$71"/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2.38"/>
    <col customWidth="1" min="2" max="2" width="23.13"/>
    <col customWidth="1" min="3" max="3" width="15.75"/>
    <col customWidth="1" min="4" max="4" width="17.5"/>
    <col customWidth="1" min="5" max="5" width="8.38"/>
    <col customWidth="1" min="6" max="6" width="13.0"/>
    <col customWidth="1" min="7" max="7" width="7.5"/>
    <col customWidth="1" min="8" max="8" width="10.88"/>
    <col customWidth="1" min="9" max="21" width="7.63"/>
  </cols>
  <sheetData>
    <row r="1">
      <c r="A1" s="574" t="s">
        <v>134</v>
      </c>
    </row>
    <row r="2">
      <c r="A2" s="575" t="s">
        <v>1653</v>
      </c>
    </row>
    <row r="3">
      <c r="A3" s="576">
        <v>45139.0</v>
      </c>
    </row>
    <row r="4">
      <c r="B4" s="577"/>
      <c r="C4" s="48"/>
      <c r="D4" s="48"/>
      <c r="E4" s="48"/>
      <c r="F4" s="60"/>
    </row>
    <row r="5">
      <c r="A5" s="578" t="s">
        <v>1031</v>
      </c>
      <c r="B5" s="579" t="s">
        <v>1585</v>
      </c>
      <c r="C5" s="578" t="s">
        <v>552</v>
      </c>
      <c r="D5" s="578" t="s">
        <v>1586</v>
      </c>
      <c r="E5" s="578" t="s">
        <v>1654</v>
      </c>
      <c r="F5" s="580" t="s">
        <v>1655</v>
      </c>
      <c r="G5" s="581"/>
    </row>
    <row r="6">
      <c r="A6" s="558" t="s">
        <v>1656</v>
      </c>
      <c r="B6" s="582">
        <v>3.2050006235E10</v>
      </c>
      <c r="C6" s="559">
        <v>45113.0</v>
      </c>
      <c r="D6" s="559">
        <v>45123.0</v>
      </c>
      <c r="E6" s="582">
        <v>46.0</v>
      </c>
      <c r="F6" s="583">
        <v>10211.55</v>
      </c>
      <c r="G6" s="584"/>
    </row>
    <row r="7">
      <c r="A7" s="558" t="s">
        <v>1657</v>
      </c>
      <c r="B7" s="582">
        <v>48025.0</v>
      </c>
      <c r="C7" s="559">
        <v>45100.0</v>
      </c>
      <c r="D7" s="559">
        <v>45130.0</v>
      </c>
      <c r="E7" s="582">
        <v>39.0</v>
      </c>
      <c r="F7" s="583">
        <v>3070.4</v>
      </c>
      <c r="G7" s="584"/>
    </row>
    <row r="8">
      <c r="A8" s="558" t="s">
        <v>1656</v>
      </c>
      <c r="B8" s="582">
        <v>3.2050006434E10</v>
      </c>
      <c r="C8" s="559">
        <v>45139.0</v>
      </c>
      <c r="D8" s="559">
        <v>45149.0</v>
      </c>
      <c r="E8" s="582">
        <v>20.0</v>
      </c>
      <c r="F8" s="583">
        <v>10749.0</v>
      </c>
      <c r="G8" s="584"/>
    </row>
    <row r="9">
      <c r="A9" s="558" t="s">
        <v>1658</v>
      </c>
      <c r="B9" s="582">
        <v>1152.0</v>
      </c>
      <c r="C9" s="559">
        <v>45156.0</v>
      </c>
      <c r="D9" s="559">
        <v>45156.0</v>
      </c>
      <c r="E9" s="582">
        <v>13.0</v>
      </c>
      <c r="F9" s="583">
        <v>17000.0</v>
      </c>
      <c r="G9" s="584"/>
    </row>
    <row r="10">
      <c r="A10" s="558" t="s">
        <v>1626</v>
      </c>
      <c r="B10" s="585">
        <v>82123.0</v>
      </c>
      <c r="C10" s="559">
        <v>45159.0</v>
      </c>
      <c r="D10" s="559">
        <v>45159.0</v>
      </c>
      <c r="E10" s="582">
        <v>10.0</v>
      </c>
      <c r="F10" s="583">
        <v>1650.0</v>
      </c>
      <c r="G10" s="584"/>
    </row>
    <row r="11">
      <c r="A11" s="558" t="s">
        <v>1659</v>
      </c>
      <c r="B11" s="582">
        <v>6302023.0</v>
      </c>
      <c r="C11" s="559">
        <v>45135.0</v>
      </c>
      <c r="D11" s="559">
        <v>45165.0</v>
      </c>
      <c r="E11" s="582">
        <v>4.0</v>
      </c>
      <c r="F11" s="583">
        <v>1300.0</v>
      </c>
      <c r="G11" s="584"/>
    </row>
    <row r="12">
      <c r="A12" s="558" t="s">
        <v>1660</v>
      </c>
      <c r="B12" s="582">
        <v>829535.0</v>
      </c>
      <c r="C12" s="559">
        <v>45138.0</v>
      </c>
      <c r="D12" s="559">
        <v>45168.0</v>
      </c>
      <c r="E12" s="582">
        <v>1.0</v>
      </c>
      <c r="F12" s="583">
        <v>468.0</v>
      </c>
      <c r="G12" s="584"/>
    </row>
    <row r="13">
      <c r="A13" s="558" t="s">
        <v>1661</v>
      </c>
      <c r="B13" s="582">
        <v>60651.0</v>
      </c>
      <c r="C13" s="559">
        <v>45139.0</v>
      </c>
      <c r="D13" s="559">
        <v>45169.0</v>
      </c>
      <c r="E13" s="582">
        <v>0.0</v>
      </c>
      <c r="F13" s="583">
        <v>1700.0</v>
      </c>
      <c r="G13" s="584"/>
    </row>
    <row r="14">
      <c r="A14" s="558" t="s">
        <v>1662</v>
      </c>
      <c r="B14" s="582">
        <v>1961.0</v>
      </c>
      <c r="C14" s="559">
        <v>45141.0</v>
      </c>
      <c r="D14" s="559">
        <v>45171.0</v>
      </c>
      <c r="E14" s="582">
        <v>-2.0</v>
      </c>
      <c r="F14" s="583">
        <v>4000.0</v>
      </c>
      <c r="G14" s="584"/>
    </row>
    <row r="15">
      <c r="A15" s="558" t="s">
        <v>1663</v>
      </c>
      <c r="B15" s="582" t="s">
        <v>1664</v>
      </c>
      <c r="C15" s="559">
        <v>45155.0</v>
      </c>
      <c r="D15" s="559">
        <v>45185.0</v>
      </c>
      <c r="E15" s="582">
        <v>-16.0</v>
      </c>
      <c r="F15" s="583">
        <v>1960.0</v>
      </c>
      <c r="G15" s="584"/>
    </row>
    <row r="16">
      <c r="A16" s="558" t="s">
        <v>1594</v>
      </c>
      <c r="B16" s="582" t="s">
        <v>1665</v>
      </c>
      <c r="C16" s="559">
        <v>45159.0</v>
      </c>
      <c r="D16" s="559">
        <v>45189.0</v>
      </c>
      <c r="E16" s="582">
        <v>-20.0</v>
      </c>
      <c r="F16" s="583">
        <v>1300.0</v>
      </c>
      <c r="G16" s="584"/>
    </row>
    <row r="17">
      <c r="A17" s="558" t="s">
        <v>1640</v>
      </c>
      <c r="B17" s="585">
        <v>1.69265E12</v>
      </c>
      <c r="C17" s="559">
        <v>45160.0</v>
      </c>
      <c r="D17" s="559">
        <v>45190.0</v>
      </c>
      <c r="E17" s="582">
        <v>-21.0</v>
      </c>
      <c r="F17" s="583">
        <v>4691.5</v>
      </c>
      <c r="G17" s="584"/>
    </row>
    <row r="18">
      <c r="A18" s="558" t="s">
        <v>1666</v>
      </c>
      <c r="B18" s="582">
        <v>9.819741761E9</v>
      </c>
      <c r="C18" s="559">
        <v>45166.0</v>
      </c>
      <c r="D18" s="559">
        <v>45196.0</v>
      </c>
      <c r="E18" s="582">
        <v>-27.0</v>
      </c>
      <c r="F18" s="583">
        <v>26.89</v>
      </c>
      <c r="G18" s="584"/>
    </row>
    <row r="19">
      <c r="A19" s="558" t="s">
        <v>1666</v>
      </c>
      <c r="B19" s="582">
        <v>9.819741753E9</v>
      </c>
      <c r="C19" s="559">
        <v>45166.0</v>
      </c>
      <c r="D19" s="559">
        <v>45196.0</v>
      </c>
      <c r="E19" s="582">
        <v>-27.0</v>
      </c>
      <c r="F19" s="583">
        <v>40.78</v>
      </c>
      <c r="G19" s="584"/>
    </row>
    <row r="20">
      <c r="A20" s="558" t="s">
        <v>1667</v>
      </c>
      <c r="B20" s="582">
        <v>1212.0</v>
      </c>
      <c r="C20" s="559">
        <v>45142.0</v>
      </c>
      <c r="D20" s="559">
        <v>45169.0</v>
      </c>
      <c r="E20" s="582">
        <v>0.0</v>
      </c>
      <c r="F20" s="583">
        <v>12205.1</v>
      </c>
    </row>
    <row r="21">
      <c r="A21" s="558" t="s">
        <v>1668</v>
      </c>
      <c r="B21" s="586" t="s">
        <v>1669</v>
      </c>
      <c r="C21" s="559">
        <v>45139.0</v>
      </c>
      <c r="D21" s="559">
        <v>45169.0</v>
      </c>
      <c r="E21" s="582">
        <v>0.0</v>
      </c>
      <c r="F21" s="587">
        <v>1000.0</v>
      </c>
    </row>
    <row r="22">
      <c r="A22" s="558"/>
      <c r="B22" s="588"/>
      <c r="C22" s="589"/>
      <c r="D22" s="582" t="s">
        <v>1670</v>
      </c>
      <c r="E22" s="589"/>
      <c r="F22" s="569">
        <f>SUM(F6:F21)</f>
        <v>71373.22</v>
      </c>
    </row>
    <row r="23">
      <c r="B23" s="577"/>
      <c r="F23" s="60"/>
    </row>
    <row r="24">
      <c r="B24" s="577"/>
      <c r="F24" s="60"/>
    </row>
    <row r="25">
      <c r="A25" s="41" t="s">
        <v>1671</v>
      </c>
      <c r="B25" s="577"/>
      <c r="F25" s="60"/>
    </row>
    <row r="26">
      <c r="B26" s="577"/>
      <c r="F26" s="60"/>
    </row>
    <row r="27">
      <c r="B27" s="577"/>
      <c r="F27" s="60"/>
    </row>
    <row r="28">
      <c r="B28" s="577"/>
      <c r="F28" s="60"/>
    </row>
    <row r="29">
      <c r="B29" s="577"/>
      <c r="F29" s="60"/>
    </row>
    <row r="30">
      <c r="B30" s="577"/>
      <c r="F30" s="60"/>
    </row>
    <row r="31">
      <c r="B31" s="577"/>
      <c r="F31" s="60"/>
    </row>
    <row r="32">
      <c r="B32" s="577"/>
      <c r="F32" s="60"/>
    </row>
    <row r="33">
      <c r="B33" s="577"/>
      <c r="F33" s="60"/>
    </row>
    <row r="34">
      <c r="B34" s="577"/>
      <c r="F34" s="60"/>
    </row>
    <row r="35">
      <c r="B35" s="577"/>
      <c r="F35" s="60"/>
    </row>
    <row r="36">
      <c r="B36" s="577"/>
      <c r="F36" s="60"/>
    </row>
    <row r="37">
      <c r="B37" s="577"/>
      <c r="F37" s="60"/>
    </row>
    <row r="38">
      <c r="B38" s="577"/>
      <c r="F38" s="60"/>
    </row>
    <row r="39">
      <c r="B39" s="577"/>
      <c r="F39" s="60"/>
    </row>
    <row r="40">
      <c r="B40" s="577"/>
      <c r="F40" s="60"/>
    </row>
    <row r="41">
      <c r="B41" s="577"/>
      <c r="F41" s="60"/>
    </row>
    <row r="42">
      <c r="B42" s="577"/>
      <c r="F42" s="60"/>
    </row>
    <row r="43">
      <c r="B43" s="577"/>
      <c r="F43" s="60"/>
    </row>
    <row r="44">
      <c r="B44" s="577"/>
      <c r="F44" s="60"/>
    </row>
    <row r="45">
      <c r="B45" s="577"/>
      <c r="F45" s="60"/>
    </row>
    <row r="46">
      <c r="B46" s="577"/>
      <c r="F46" s="60"/>
    </row>
    <row r="47">
      <c r="B47" s="577"/>
      <c r="F47" s="60"/>
    </row>
    <row r="48">
      <c r="B48" s="577"/>
      <c r="F48" s="60"/>
    </row>
    <row r="49">
      <c r="B49" s="577"/>
      <c r="F49" s="60"/>
    </row>
    <row r="50">
      <c r="B50" s="577"/>
      <c r="F50" s="60"/>
    </row>
    <row r="51">
      <c r="B51" s="577"/>
      <c r="F51" s="60"/>
    </row>
    <row r="52">
      <c r="B52" s="577"/>
      <c r="F52" s="60"/>
    </row>
    <row r="53">
      <c r="B53" s="577"/>
      <c r="F53" s="60"/>
    </row>
    <row r="54">
      <c r="B54" s="577"/>
      <c r="F54" s="60"/>
    </row>
    <row r="55">
      <c r="B55" s="577"/>
      <c r="F55" s="60"/>
    </row>
    <row r="56">
      <c r="B56" s="577"/>
      <c r="F56" s="60"/>
    </row>
    <row r="57">
      <c r="B57" s="577"/>
      <c r="F57" s="60"/>
    </row>
    <row r="58">
      <c r="B58" s="577"/>
      <c r="F58" s="60"/>
    </row>
    <row r="59">
      <c r="B59" s="577"/>
      <c r="F59" s="60"/>
    </row>
    <row r="60">
      <c r="B60" s="577"/>
      <c r="F60" s="60"/>
    </row>
    <row r="61">
      <c r="B61" s="577"/>
      <c r="F61" s="60"/>
    </row>
    <row r="62">
      <c r="B62" s="577"/>
      <c r="F62" s="60"/>
    </row>
    <row r="63">
      <c r="B63" s="577"/>
      <c r="F63" s="60"/>
    </row>
    <row r="64">
      <c r="B64" s="577"/>
      <c r="F64" s="60"/>
    </row>
    <row r="65">
      <c r="B65" s="577"/>
      <c r="F65" s="60"/>
    </row>
    <row r="66">
      <c r="B66" s="577"/>
      <c r="F66" s="60"/>
    </row>
    <row r="67">
      <c r="B67" s="577"/>
      <c r="F67" s="60"/>
    </row>
    <row r="68">
      <c r="B68" s="577"/>
      <c r="F68" s="60"/>
    </row>
    <row r="69">
      <c r="B69" s="577"/>
      <c r="F69" s="60"/>
    </row>
    <row r="70">
      <c r="B70" s="577"/>
      <c r="F70" s="60"/>
    </row>
    <row r="71">
      <c r="B71" s="577"/>
      <c r="F71" s="60"/>
    </row>
    <row r="72">
      <c r="B72" s="577"/>
      <c r="F72" s="60"/>
    </row>
    <row r="73">
      <c r="B73" s="577"/>
      <c r="F73" s="60"/>
    </row>
    <row r="74">
      <c r="B74" s="577"/>
      <c r="F74" s="60"/>
    </row>
    <row r="75">
      <c r="B75" s="577"/>
      <c r="F75" s="60"/>
    </row>
    <row r="76">
      <c r="B76" s="577"/>
      <c r="F76" s="60"/>
    </row>
    <row r="77">
      <c r="B77" s="577"/>
      <c r="F77" s="60"/>
    </row>
    <row r="78">
      <c r="B78" s="577"/>
      <c r="F78" s="60"/>
    </row>
    <row r="79">
      <c r="B79" s="577"/>
      <c r="F79" s="60"/>
    </row>
    <row r="80">
      <c r="B80" s="577"/>
      <c r="F80" s="60"/>
    </row>
    <row r="81">
      <c r="B81" s="577"/>
      <c r="F81" s="60"/>
    </row>
    <row r="82">
      <c r="B82" s="577"/>
      <c r="F82" s="60"/>
    </row>
    <row r="83">
      <c r="B83" s="577"/>
      <c r="F83" s="60"/>
    </row>
    <row r="84">
      <c r="B84" s="577"/>
      <c r="F84" s="60"/>
    </row>
    <row r="85">
      <c r="B85" s="577"/>
      <c r="F85" s="60"/>
    </row>
    <row r="86">
      <c r="B86" s="577"/>
      <c r="F86" s="60"/>
    </row>
    <row r="87">
      <c r="B87" s="577"/>
      <c r="F87" s="60"/>
    </row>
    <row r="88">
      <c r="B88" s="577"/>
      <c r="F88" s="60"/>
    </row>
    <row r="89">
      <c r="B89" s="577"/>
      <c r="F89" s="60"/>
    </row>
    <row r="90">
      <c r="B90" s="577"/>
      <c r="F90" s="60"/>
    </row>
    <row r="91">
      <c r="B91" s="577"/>
      <c r="F91" s="60"/>
    </row>
    <row r="92">
      <c r="B92" s="577"/>
      <c r="F92" s="60"/>
    </row>
    <row r="93">
      <c r="B93" s="577"/>
      <c r="F93" s="60"/>
    </row>
    <row r="94">
      <c r="B94" s="577"/>
      <c r="F94" s="60"/>
    </row>
    <row r="95">
      <c r="B95" s="577"/>
      <c r="F95" s="60"/>
    </row>
    <row r="96">
      <c r="B96" s="577"/>
      <c r="F96" s="60"/>
    </row>
    <row r="97">
      <c r="B97" s="577"/>
      <c r="F97" s="60"/>
    </row>
    <row r="98">
      <c r="B98" s="577"/>
      <c r="F98" s="60"/>
    </row>
    <row r="99">
      <c r="B99" s="577"/>
      <c r="F99" s="60"/>
    </row>
    <row r="100">
      <c r="B100" s="577"/>
      <c r="F100" s="60"/>
    </row>
    <row r="101">
      <c r="B101" s="577"/>
      <c r="F101" s="60"/>
    </row>
    <row r="102">
      <c r="B102" s="577"/>
      <c r="F102" s="60"/>
    </row>
    <row r="103">
      <c r="B103" s="577"/>
      <c r="F103" s="60"/>
    </row>
    <row r="104">
      <c r="B104" s="577"/>
      <c r="F104" s="60"/>
    </row>
    <row r="105">
      <c r="B105" s="577"/>
      <c r="F105" s="60"/>
    </row>
    <row r="106">
      <c r="B106" s="577"/>
      <c r="F106" s="60"/>
    </row>
    <row r="107">
      <c r="B107" s="577"/>
      <c r="F107" s="60"/>
    </row>
    <row r="108">
      <c r="B108" s="577"/>
      <c r="F108" s="60"/>
    </row>
    <row r="109">
      <c r="B109" s="577"/>
      <c r="F109" s="60"/>
    </row>
    <row r="110">
      <c r="B110" s="577"/>
      <c r="F110" s="60"/>
    </row>
    <row r="111">
      <c r="B111" s="577"/>
      <c r="F111" s="60"/>
    </row>
    <row r="112">
      <c r="B112" s="577"/>
      <c r="F112" s="60"/>
    </row>
    <row r="113">
      <c r="B113" s="577"/>
      <c r="F113" s="60"/>
    </row>
    <row r="114">
      <c r="B114" s="577"/>
      <c r="F114" s="60"/>
    </row>
    <row r="115">
      <c r="B115" s="577"/>
      <c r="F115" s="60"/>
    </row>
    <row r="116">
      <c r="B116" s="577"/>
      <c r="F116" s="60"/>
    </row>
    <row r="117">
      <c r="B117" s="577"/>
      <c r="F117" s="60"/>
    </row>
    <row r="118">
      <c r="B118" s="577"/>
      <c r="F118" s="60"/>
    </row>
    <row r="119">
      <c r="B119" s="577"/>
      <c r="F119" s="60"/>
    </row>
    <row r="120">
      <c r="B120" s="577"/>
      <c r="F120" s="60"/>
    </row>
    <row r="121">
      <c r="B121" s="577"/>
      <c r="F121" s="60"/>
    </row>
    <row r="122">
      <c r="B122" s="577"/>
      <c r="F122" s="60"/>
    </row>
    <row r="123">
      <c r="B123" s="577"/>
      <c r="F123" s="60"/>
    </row>
    <row r="124">
      <c r="B124" s="577"/>
      <c r="F124" s="60"/>
    </row>
    <row r="125">
      <c r="B125" s="577"/>
      <c r="F125" s="60"/>
    </row>
    <row r="126">
      <c r="B126" s="577"/>
      <c r="F126" s="60"/>
    </row>
    <row r="127">
      <c r="B127" s="577"/>
      <c r="F127" s="60"/>
    </row>
    <row r="128">
      <c r="B128" s="577"/>
      <c r="F128" s="60"/>
    </row>
    <row r="129">
      <c r="B129" s="577"/>
      <c r="F129" s="60"/>
    </row>
    <row r="130">
      <c r="B130" s="577"/>
      <c r="F130" s="60"/>
    </row>
    <row r="131">
      <c r="B131" s="577"/>
      <c r="F131" s="60"/>
    </row>
    <row r="132">
      <c r="B132" s="577"/>
      <c r="F132" s="60"/>
    </row>
    <row r="133">
      <c r="B133" s="577"/>
      <c r="F133" s="60"/>
    </row>
    <row r="134">
      <c r="B134" s="577"/>
      <c r="F134" s="60"/>
    </row>
    <row r="135">
      <c r="B135" s="577"/>
      <c r="F135" s="60"/>
    </row>
    <row r="136">
      <c r="B136" s="577"/>
      <c r="F136" s="60"/>
    </row>
    <row r="137">
      <c r="B137" s="577"/>
      <c r="F137" s="60"/>
    </row>
    <row r="138">
      <c r="B138" s="577"/>
      <c r="F138" s="60"/>
    </row>
    <row r="139">
      <c r="B139" s="577"/>
      <c r="F139" s="60"/>
    </row>
    <row r="140">
      <c r="B140" s="577"/>
      <c r="F140" s="60"/>
    </row>
    <row r="141">
      <c r="B141" s="577"/>
      <c r="F141" s="60"/>
    </row>
    <row r="142">
      <c r="B142" s="577"/>
      <c r="F142" s="60"/>
    </row>
    <row r="143">
      <c r="B143" s="577"/>
      <c r="F143" s="60"/>
    </row>
    <row r="144">
      <c r="B144" s="577"/>
      <c r="F144" s="60"/>
    </row>
    <row r="145">
      <c r="B145" s="577"/>
      <c r="F145" s="60"/>
    </row>
    <row r="146">
      <c r="B146" s="577"/>
      <c r="F146" s="60"/>
    </row>
    <row r="147">
      <c r="B147" s="577"/>
      <c r="F147" s="60"/>
    </row>
    <row r="148">
      <c r="B148" s="577"/>
      <c r="F148" s="60"/>
    </row>
    <row r="149">
      <c r="B149" s="577"/>
      <c r="F149" s="60"/>
    </row>
    <row r="150">
      <c r="B150" s="577"/>
      <c r="F150" s="60"/>
    </row>
    <row r="151">
      <c r="B151" s="577"/>
      <c r="F151" s="60"/>
    </row>
    <row r="152">
      <c r="B152" s="577"/>
      <c r="F152" s="60"/>
    </row>
    <row r="153">
      <c r="B153" s="577"/>
      <c r="F153" s="60"/>
    </row>
    <row r="154">
      <c r="B154" s="577"/>
      <c r="F154" s="60"/>
    </row>
    <row r="155">
      <c r="B155" s="577"/>
      <c r="F155" s="60"/>
    </row>
    <row r="156">
      <c r="B156" s="577"/>
      <c r="F156" s="60"/>
    </row>
    <row r="157">
      <c r="B157" s="577"/>
      <c r="F157" s="60"/>
    </row>
    <row r="158">
      <c r="B158" s="577"/>
      <c r="F158" s="60"/>
    </row>
    <row r="159">
      <c r="B159" s="577"/>
      <c r="F159" s="60"/>
    </row>
    <row r="160">
      <c r="B160" s="577"/>
      <c r="F160" s="60"/>
    </row>
    <row r="161">
      <c r="B161" s="577"/>
      <c r="F161" s="60"/>
    </row>
    <row r="162">
      <c r="B162" s="577"/>
      <c r="F162" s="60"/>
    </row>
    <row r="163">
      <c r="B163" s="577"/>
      <c r="F163" s="60"/>
    </row>
    <row r="164">
      <c r="B164" s="577"/>
      <c r="F164" s="60"/>
    </row>
    <row r="165">
      <c r="B165" s="577"/>
      <c r="F165" s="60"/>
    </row>
    <row r="166">
      <c r="B166" s="577"/>
      <c r="F166" s="60"/>
    </row>
    <row r="167">
      <c r="B167" s="577"/>
      <c r="F167" s="60"/>
    </row>
    <row r="168">
      <c r="B168" s="577"/>
      <c r="F168" s="60"/>
    </row>
    <row r="169">
      <c r="B169" s="577"/>
      <c r="F169" s="60"/>
    </row>
    <row r="170">
      <c r="B170" s="577"/>
      <c r="F170" s="60"/>
    </row>
    <row r="171">
      <c r="B171" s="577"/>
      <c r="F171" s="60"/>
    </row>
    <row r="172">
      <c r="B172" s="577"/>
      <c r="F172" s="60"/>
    </row>
    <row r="173">
      <c r="B173" s="577"/>
      <c r="F173" s="60"/>
    </row>
    <row r="174">
      <c r="B174" s="577"/>
      <c r="F174" s="60"/>
    </row>
    <row r="175">
      <c r="B175" s="577"/>
      <c r="F175" s="60"/>
    </row>
    <row r="176">
      <c r="B176" s="577"/>
      <c r="F176" s="60"/>
    </row>
    <row r="177">
      <c r="B177" s="577"/>
      <c r="F177" s="60"/>
    </row>
    <row r="178">
      <c r="B178" s="577"/>
      <c r="F178" s="60"/>
    </row>
    <row r="179">
      <c r="B179" s="577"/>
      <c r="F179" s="60"/>
    </row>
    <row r="180">
      <c r="B180" s="577"/>
      <c r="F180" s="60"/>
    </row>
    <row r="181">
      <c r="B181" s="577"/>
      <c r="F181" s="60"/>
    </row>
    <row r="182">
      <c r="B182" s="577"/>
      <c r="F182" s="60"/>
    </row>
    <row r="183">
      <c r="B183" s="577"/>
      <c r="F183" s="60"/>
    </row>
    <row r="184">
      <c r="B184" s="577"/>
      <c r="F184" s="60"/>
    </row>
    <row r="185">
      <c r="B185" s="577"/>
      <c r="F185" s="60"/>
    </row>
    <row r="186">
      <c r="B186" s="577"/>
      <c r="F186" s="60"/>
    </row>
    <row r="187">
      <c r="B187" s="577"/>
      <c r="F187" s="60"/>
    </row>
    <row r="188">
      <c r="B188" s="577"/>
      <c r="F188" s="60"/>
    </row>
    <row r="189">
      <c r="B189" s="577"/>
      <c r="F189" s="60"/>
    </row>
    <row r="190">
      <c r="B190" s="577"/>
      <c r="F190" s="60"/>
    </row>
    <row r="191">
      <c r="B191" s="577"/>
      <c r="F191" s="60"/>
    </row>
    <row r="192">
      <c r="B192" s="577"/>
      <c r="F192" s="60"/>
    </row>
    <row r="193">
      <c r="B193" s="577"/>
      <c r="F193" s="60"/>
    </row>
    <row r="194">
      <c r="B194" s="577"/>
      <c r="F194" s="60"/>
    </row>
    <row r="195">
      <c r="B195" s="577"/>
      <c r="F195" s="60"/>
    </row>
    <row r="196">
      <c r="B196" s="577"/>
      <c r="F196" s="60"/>
    </row>
    <row r="197">
      <c r="B197" s="577"/>
      <c r="F197" s="60"/>
    </row>
    <row r="198">
      <c r="B198" s="577"/>
      <c r="F198" s="60"/>
    </row>
    <row r="199">
      <c r="B199" s="577"/>
      <c r="F199" s="60"/>
    </row>
    <row r="200">
      <c r="B200" s="577"/>
      <c r="F200" s="60"/>
    </row>
    <row r="201">
      <c r="B201" s="577"/>
      <c r="F201" s="60"/>
    </row>
    <row r="202">
      <c r="B202" s="577"/>
      <c r="F202" s="60"/>
    </row>
    <row r="203">
      <c r="B203" s="577"/>
      <c r="F203" s="60"/>
    </row>
    <row r="204">
      <c r="B204" s="577"/>
      <c r="F204" s="60"/>
    </row>
    <row r="205">
      <c r="B205" s="577"/>
      <c r="F205" s="60"/>
    </row>
    <row r="206">
      <c r="B206" s="577"/>
      <c r="F206" s="60"/>
    </row>
    <row r="207">
      <c r="B207" s="577"/>
      <c r="F207" s="60"/>
    </row>
    <row r="208">
      <c r="B208" s="577"/>
      <c r="F208" s="60"/>
    </row>
    <row r="209">
      <c r="B209" s="577"/>
      <c r="F209" s="60"/>
    </row>
    <row r="210">
      <c r="B210" s="577"/>
      <c r="F210" s="60"/>
    </row>
    <row r="211">
      <c r="B211" s="577"/>
      <c r="F211" s="60"/>
    </row>
    <row r="212">
      <c r="B212" s="577"/>
      <c r="F212" s="60"/>
    </row>
    <row r="213">
      <c r="B213" s="577"/>
      <c r="F213" s="60"/>
    </row>
    <row r="214">
      <c r="B214" s="577"/>
      <c r="F214" s="60"/>
    </row>
    <row r="215">
      <c r="B215" s="577"/>
      <c r="F215" s="60"/>
    </row>
    <row r="216">
      <c r="B216" s="577"/>
      <c r="F216" s="60"/>
    </row>
    <row r="217">
      <c r="B217" s="577"/>
      <c r="F217" s="60"/>
    </row>
    <row r="218">
      <c r="B218" s="577"/>
      <c r="F218" s="60"/>
    </row>
    <row r="219">
      <c r="B219" s="577"/>
      <c r="F219" s="60"/>
    </row>
    <row r="220">
      <c r="B220" s="577"/>
      <c r="F220" s="60"/>
    </row>
    <row r="221">
      <c r="B221" s="577"/>
      <c r="F221" s="60"/>
    </row>
    <row r="222">
      <c r="B222" s="577"/>
      <c r="F222" s="60"/>
    </row>
    <row r="223">
      <c r="B223" s="577"/>
      <c r="F223" s="60"/>
    </row>
    <row r="224">
      <c r="B224" s="577"/>
      <c r="F224" s="60"/>
    </row>
    <row r="225">
      <c r="B225" s="577"/>
      <c r="F225" s="60"/>
    </row>
    <row r="226">
      <c r="B226" s="577"/>
      <c r="F226" s="60"/>
    </row>
    <row r="227">
      <c r="B227" s="577"/>
      <c r="F227" s="60"/>
    </row>
    <row r="228">
      <c r="B228" s="577"/>
      <c r="F228" s="60"/>
    </row>
    <row r="229">
      <c r="B229" s="577"/>
      <c r="F229" s="60"/>
    </row>
    <row r="230">
      <c r="B230" s="577"/>
      <c r="F230" s="60"/>
    </row>
    <row r="231">
      <c r="B231" s="577"/>
      <c r="F231" s="60"/>
    </row>
    <row r="232">
      <c r="B232" s="577"/>
      <c r="F232" s="60"/>
    </row>
    <row r="233">
      <c r="B233" s="577"/>
      <c r="F233" s="60"/>
    </row>
    <row r="234">
      <c r="B234" s="577"/>
      <c r="F234" s="60"/>
    </row>
    <row r="235">
      <c r="B235" s="577"/>
      <c r="F235" s="60"/>
    </row>
    <row r="236">
      <c r="B236" s="577"/>
      <c r="F236" s="60"/>
    </row>
    <row r="237">
      <c r="B237" s="577"/>
      <c r="F237" s="60"/>
    </row>
    <row r="238">
      <c r="B238" s="577"/>
      <c r="F238" s="60"/>
    </row>
    <row r="239">
      <c r="B239" s="577"/>
      <c r="F239" s="60"/>
    </row>
    <row r="240">
      <c r="B240" s="577"/>
      <c r="F240" s="60"/>
    </row>
    <row r="241">
      <c r="B241" s="577"/>
      <c r="F241" s="60"/>
    </row>
    <row r="242">
      <c r="B242" s="577"/>
      <c r="F242" s="60"/>
    </row>
    <row r="243">
      <c r="B243" s="577"/>
      <c r="F243" s="60"/>
    </row>
    <row r="244">
      <c r="B244" s="577"/>
      <c r="F244" s="60"/>
    </row>
    <row r="245">
      <c r="B245" s="577"/>
      <c r="F245" s="60"/>
    </row>
    <row r="246">
      <c r="B246" s="577"/>
      <c r="F246" s="60"/>
    </row>
    <row r="247">
      <c r="B247" s="577"/>
      <c r="F247" s="60"/>
    </row>
    <row r="248">
      <c r="B248" s="577"/>
      <c r="F248" s="60"/>
    </row>
    <row r="249">
      <c r="B249" s="577"/>
      <c r="F249" s="60"/>
    </row>
    <row r="250">
      <c r="B250" s="577"/>
      <c r="F250" s="60"/>
    </row>
    <row r="251">
      <c r="B251" s="577"/>
      <c r="F251" s="60"/>
    </row>
    <row r="252">
      <c r="B252" s="577"/>
      <c r="F252" s="60"/>
    </row>
    <row r="253">
      <c r="B253" s="577"/>
      <c r="F253" s="60"/>
    </row>
    <row r="254">
      <c r="B254" s="577"/>
      <c r="F254" s="60"/>
    </row>
    <row r="255">
      <c r="B255" s="577"/>
      <c r="F255" s="60"/>
    </row>
    <row r="256">
      <c r="B256" s="577"/>
      <c r="F256" s="60"/>
    </row>
    <row r="257">
      <c r="B257" s="577"/>
      <c r="F257" s="60"/>
    </row>
    <row r="258">
      <c r="B258" s="577"/>
      <c r="F258" s="60"/>
    </row>
    <row r="259">
      <c r="B259" s="577"/>
      <c r="F259" s="60"/>
    </row>
    <row r="260">
      <c r="B260" s="577"/>
      <c r="F260" s="60"/>
    </row>
    <row r="261">
      <c r="B261" s="577"/>
      <c r="F261" s="60"/>
    </row>
    <row r="262">
      <c r="B262" s="577"/>
      <c r="F262" s="60"/>
    </row>
    <row r="263">
      <c r="B263" s="577"/>
      <c r="F263" s="60"/>
    </row>
    <row r="264">
      <c r="B264" s="577"/>
      <c r="F264" s="60"/>
    </row>
    <row r="265">
      <c r="B265" s="577"/>
      <c r="F265" s="60"/>
    </row>
    <row r="266">
      <c r="B266" s="577"/>
      <c r="F266" s="60"/>
    </row>
    <row r="267">
      <c r="B267" s="577"/>
      <c r="F267" s="60"/>
    </row>
    <row r="268">
      <c r="B268" s="577"/>
      <c r="F268" s="60"/>
    </row>
    <row r="269">
      <c r="B269" s="577"/>
      <c r="F269" s="60"/>
    </row>
    <row r="270">
      <c r="B270" s="577"/>
      <c r="F270" s="60"/>
    </row>
    <row r="271">
      <c r="B271" s="577"/>
      <c r="F271" s="60"/>
    </row>
    <row r="272">
      <c r="B272" s="577"/>
      <c r="F272" s="60"/>
    </row>
    <row r="273">
      <c r="B273" s="577"/>
      <c r="F273" s="60"/>
    </row>
    <row r="274">
      <c r="B274" s="577"/>
      <c r="F274" s="60"/>
    </row>
    <row r="275">
      <c r="B275" s="577"/>
      <c r="F275" s="60"/>
    </row>
    <row r="276">
      <c r="B276" s="577"/>
      <c r="F276" s="60"/>
    </row>
    <row r="277">
      <c r="B277" s="577"/>
      <c r="F277" s="60"/>
    </row>
    <row r="278">
      <c r="B278" s="577"/>
      <c r="F278" s="60"/>
    </row>
    <row r="279">
      <c r="B279" s="577"/>
      <c r="F279" s="60"/>
    </row>
    <row r="280">
      <c r="B280" s="577"/>
      <c r="F280" s="60"/>
    </row>
    <row r="281">
      <c r="B281" s="577"/>
      <c r="F281" s="60"/>
    </row>
    <row r="282">
      <c r="B282" s="577"/>
      <c r="F282" s="60"/>
    </row>
    <row r="283">
      <c r="B283" s="577"/>
      <c r="F283" s="60"/>
    </row>
    <row r="284">
      <c r="B284" s="577"/>
      <c r="F284" s="60"/>
    </row>
    <row r="285">
      <c r="B285" s="577"/>
      <c r="F285" s="60"/>
    </row>
    <row r="286">
      <c r="B286" s="577"/>
      <c r="F286" s="60"/>
    </row>
    <row r="287">
      <c r="B287" s="577"/>
      <c r="F287" s="60"/>
    </row>
    <row r="288">
      <c r="B288" s="577"/>
      <c r="F288" s="60"/>
    </row>
    <row r="289">
      <c r="B289" s="577"/>
      <c r="F289" s="60"/>
    </row>
    <row r="290">
      <c r="B290" s="577"/>
      <c r="F290" s="60"/>
    </row>
    <row r="291">
      <c r="B291" s="577"/>
      <c r="F291" s="60"/>
    </row>
    <row r="292">
      <c r="B292" s="577"/>
      <c r="F292" s="60"/>
    </row>
    <row r="293">
      <c r="B293" s="577"/>
      <c r="F293" s="60"/>
    </row>
    <row r="294">
      <c r="B294" s="577"/>
      <c r="F294" s="60"/>
    </row>
    <row r="295">
      <c r="B295" s="577"/>
      <c r="F295" s="60"/>
    </row>
    <row r="296">
      <c r="B296" s="577"/>
      <c r="F296" s="60"/>
    </row>
    <row r="297">
      <c r="B297" s="577"/>
      <c r="F297" s="60"/>
    </row>
    <row r="298">
      <c r="B298" s="577"/>
      <c r="F298" s="60"/>
    </row>
    <row r="299">
      <c r="B299" s="577"/>
      <c r="F299" s="60"/>
    </row>
    <row r="300">
      <c r="B300" s="577"/>
      <c r="F300" s="60"/>
    </row>
    <row r="301">
      <c r="B301" s="577"/>
      <c r="F301" s="60"/>
    </row>
    <row r="302">
      <c r="B302" s="577"/>
      <c r="F302" s="60"/>
    </row>
    <row r="303">
      <c r="B303" s="577"/>
      <c r="F303" s="60"/>
    </row>
    <row r="304">
      <c r="B304" s="577"/>
      <c r="F304" s="60"/>
    </row>
    <row r="305">
      <c r="B305" s="577"/>
      <c r="F305" s="60"/>
    </row>
    <row r="306">
      <c r="B306" s="577"/>
      <c r="F306" s="60"/>
    </row>
    <row r="307">
      <c r="B307" s="577"/>
      <c r="F307" s="60"/>
    </row>
    <row r="308">
      <c r="B308" s="577"/>
      <c r="F308" s="60"/>
    </row>
    <row r="309">
      <c r="B309" s="577"/>
      <c r="F309" s="60"/>
    </row>
    <row r="310">
      <c r="B310" s="577"/>
      <c r="F310" s="60"/>
    </row>
    <row r="311">
      <c r="B311" s="577"/>
      <c r="F311" s="60"/>
    </row>
    <row r="312">
      <c r="B312" s="577"/>
      <c r="F312" s="60"/>
    </row>
    <row r="313">
      <c r="B313" s="577"/>
      <c r="F313" s="60"/>
    </row>
    <row r="314">
      <c r="B314" s="577"/>
      <c r="F314" s="60"/>
    </row>
    <row r="315">
      <c r="B315" s="577"/>
      <c r="F315" s="60"/>
    </row>
    <row r="316">
      <c r="B316" s="577"/>
      <c r="F316" s="60"/>
    </row>
    <row r="317">
      <c r="B317" s="577"/>
      <c r="F317" s="60"/>
    </row>
    <row r="318">
      <c r="B318" s="577"/>
      <c r="F318" s="60"/>
    </row>
    <row r="319">
      <c r="B319" s="577"/>
      <c r="F319" s="60"/>
    </row>
    <row r="320">
      <c r="B320" s="577"/>
      <c r="F320" s="60"/>
    </row>
    <row r="321">
      <c r="B321" s="577"/>
      <c r="F321" s="60"/>
    </row>
    <row r="322">
      <c r="B322" s="577"/>
      <c r="F322" s="60"/>
    </row>
    <row r="323">
      <c r="B323" s="577"/>
      <c r="F323" s="60"/>
    </row>
    <row r="324">
      <c r="B324" s="577"/>
      <c r="F324" s="60"/>
    </row>
    <row r="325">
      <c r="B325" s="577"/>
      <c r="F325" s="60"/>
    </row>
    <row r="326">
      <c r="B326" s="577"/>
      <c r="F326" s="60"/>
    </row>
    <row r="327">
      <c r="B327" s="577"/>
      <c r="F327" s="60"/>
    </row>
    <row r="328">
      <c r="B328" s="577"/>
      <c r="F328" s="60"/>
    </row>
    <row r="329">
      <c r="B329" s="577"/>
      <c r="F329" s="60"/>
    </row>
    <row r="330">
      <c r="B330" s="577"/>
      <c r="F330" s="60"/>
    </row>
    <row r="331">
      <c r="B331" s="577"/>
      <c r="F331" s="60"/>
    </row>
    <row r="332">
      <c r="B332" s="577"/>
      <c r="F332" s="60"/>
    </row>
    <row r="333">
      <c r="B333" s="577"/>
      <c r="F333" s="60"/>
    </row>
    <row r="334">
      <c r="B334" s="577"/>
      <c r="F334" s="60"/>
    </row>
    <row r="335">
      <c r="B335" s="577"/>
      <c r="F335" s="60"/>
    </row>
    <row r="336">
      <c r="B336" s="577"/>
      <c r="F336" s="60"/>
    </row>
    <row r="337">
      <c r="B337" s="577"/>
      <c r="F337" s="60"/>
    </row>
    <row r="338">
      <c r="B338" s="577"/>
      <c r="F338" s="60"/>
    </row>
    <row r="339">
      <c r="B339" s="577"/>
      <c r="F339" s="60"/>
    </row>
    <row r="340">
      <c r="B340" s="577"/>
      <c r="F340" s="60"/>
    </row>
    <row r="341">
      <c r="B341" s="577"/>
      <c r="F341" s="60"/>
    </row>
    <row r="342">
      <c r="B342" s="577"/>
      <c r="F342" s="60"/>
    </row>
    <row r="343">
      <c r="B343" s="577"/>
      <c r="F343" s="60"/>
    </row>
    <row r="344">
      <c r="B344" s="577"/>
      <c r="F344" s="60"/>
    </row>
    <row r="345">
      <c r="B345" s="577"/>
      <c r="F345" s="60"/>
    </row>
    <row r="346">
      <c r="B346" s="577"/>
      <c r="F346" s="60"/>
    </row>
    <row r="347">
      <c r="B347" s="577"/>
      <c r="F347" s="60"/>
    </row>
    <row r="348">
      <c r="B348" s="577"/>
      <c r="F348" s="60"/>
    </row>
    <row r="349">
      <c r="B349" s="577"/>
      <c r="F349" s="60"/>
    </row>
    <row r="350">
      <c r="B350" s="577"/>
      <c r="F350" s="60"/>
    </row>
    <row r="351">
      <c r="B351" s="577"/>
      <c r="F351" s="60"/>
    </row>
    <row r="352">
      <c r="B352" s="577"/>
      <c r="F352" s="60"/>
    </row>
    <row r="353">
      <c r="B353" s="577"/>
      <c r="F353" s="60"/>
    </row>
    <row r="354">
      <c r="B354" s="577"/>
      <c r="F354" s="60"/>
    </row>
    <row r="355">
      <c r="B355" s="577"/>
      <c r="F355" s="60"/>
    </row>
    <row r="356">
      <c r="B356" s="577"/>
      <c r="F356" s="60"/>
    </row>
    <row r="357">
      <c r="B357" s="577"/>
      <c r="F357" s="60"/>
    </row>
    <row r="358">
      <c r="B358" s="577"/>
      <c r="F358" s="60"/>
    </row>
    <row r="359">
      <c r="B359" s="577"/>
      <c r="F359" s="60"/>
    </row>
    <row r="360">
      <c r="B360" s="577"/>
      <c r="F360" s="60"/>
    </row>
    <row r="361">
      <c r="B361" s="577"/>
      <c r="F361" s="60"/>
    </row>
    <row r="362">
      <c r="B362" s="577"/>
      <c r="F362" s="60"/>
    </row>
    <row r="363">
      <c r="B363" s="577"/>
      <c r="F363" s="60"/>
    </row>
    <row r="364">
      <c r="B364" s="577"/>
      <c r="F364" s="60"/>
    </row>
    <row r="365">
      <c r="B365" s="577"/>
      <c r="F365" s="60"/>
    </row>
    <row r="366">
      <c r="B366" s="577"/>
      <c r="F366" s="60"/>
    </row>
    <row r="367">
      <c r="B367" s="577"/>
      <c r="F367" s="60"/>
    </row>
    <row r="368">
      <c r="B368" s="577"/>
      <c r="F368" s="60"/>
    </row>
    <row r="369">
      <c r="B369" s="577"/>
      <c r="F369" s="60"/>
    </row>
    <row r="370">
      <c r="B370" s="577"/>
      <c r="F370" s="60"/>
    </row>
    <row r="371">
      <c r="B371" s="577"/>
      <c r="F371" s="60"/>
    </row>
    <row r="372">
      <c r="B372" s="577"/>
      <c r="F372" s="60"/>
    </row>
    <row r="373">
      <c r="B373" s="577"/>
      <c r="F373" s="60"/>
    </row>
    <row r="374">
      <c r="B374" s="577"/>
      <c r="F374" s="60"/>
    </row>
    <row r="375">
      <c r="B375" s="577"/>
      <c r="F375" s="60"/>
    </row>
    <row r="376">
      <c r="B376" s="577"/>
      <c r="F376" s="60"/>
    </row>
    <row r="377">
      <c r="B377" s="577"/>
      <c r="F377" s="60"/>
    </row>
    <row r="378">
      <c r="B378" s="577"/>
      <c r="F378" s="60"/>
    </row>
    <row r="379">
      <c r="B379" s="577"/>
      <c r="F379" s="60"/>
    </row>
    <row r="380">
      <c r="B380" s="577"/>
      <c r="F380" s="60"/>
    </row>
    <row r="381">
      <c r="B381" s="577"/>
      <c r="F381" s="60"/>
    </row>
    <row r="382">
      <c r="B382" s="577"/>
      <c r="F382" s="60"/>
    </row>
    <row r="383">
      <c r="B383" s="577"/>
      <c r="F383" s="60"/>
    </row>
    <row r="384">
      <c r="B384" s="577"/>
      <c r="F384" s="60"/>
    </row>
    <row r="385">
      <c r="B385" s="577"/>
      <c r="F385" s="60"/>
    </row>
    <row r="386">
      <c r="B386" s="577"/>
      <c r="F386" s="60"/>
    </row>
    <row r="387">
      <c r="B387" s="577"/>
      <c r="F387" s="60"/>
    </row>
    <row r="388">
      <c r="B388" s="577"/>
      <c r="F388" s="60"/>
    </row>
    <row r="389">
      <c r="B389" s="577"/>
      <c r="F389" s="60"/>
    </row>
    <row r="390">
      <c r="B390" s="577"/>
      <c r="F390" s="60"/>
    </row>
    <row r="391">
      <c r="B391" s="577"/>
      <c r="F391" s="60"/>
    </row>
    <row r="392">
      <c r="B392" s="577"/>
      <c r="F392" s="60"/>
    </row>
    <row r="393">
      <c r="B393" s="577"/>
      <c r="F393" s="60"/>
    </row>
    <row r="394">
      <c r="B394" s="577"/>
      <c r="F394" s="60"/>
    </row>
    <row r="395">
      <c r="B395" s="577"/>
      <c r="F395" s="60"/>
    </row>
    <row r="396">
      <c r="B396" s="577"/>
      <c r="F396" s="60"/>
    </row>
    <row r="397">
      <c r="B397" s="577"/>
      <c r="F397" s="60"/>
    </row>
    <row r="398">
      <c r="B398" s="577"/>
      <c r="F398" s="60"/>
    </row>
    <row r="399">
      <c r="B399" s="577"/>
      <c r="F399" s="60"/>
    </row>
    <row r="400">
      <c r="B400" s="577"/>
      <c r="F400" s="60"/>
    </row>
    <row r="401">
      <c r="B401" s="577"/>
      <c r="F401" s="60"/>
    </row>
    <row r="402">
      <c r="B402" s="577"/>
      <c r="F402" s="60"/>
    </row>
    <row r="403">
      <c r="B403" s="577"/>
      <c r="F403" s="60"/>
    </row>
    <row r="404">
      <c r="B404" s="577"/>
      <c r="F404" s="60"/>
    </row>
    <row r="405">
      <c r="B405" s="577"/>
      <c r="F405" s="60"/>
    </row>
    <row r="406">
      <c r="B406" s="577"/>
      <c r="F406" s="60"/>
    </row>
    <row r="407">
      <c r="B407" s="577"/>
      <c r="F407" s="60"/>
    </row>
    <row r="408">
      <c r="B408" s="577"/>
      <c r="F408" s="60"/>
    </row>
    <row r="409">
      <c r="B409" s="577"/>
      <c r="F409" s="60"/>
    </row>
    <row r="410">
      <c r="B410" s="577"/>
      <c r="F410" s="60"/>
    </row>
    <row r="411">
      <c r="B411" s="577"/>
      <c r="F411" s="60"/>
    </row>
    <row r="412">
      <c r="B412" s="577"/>
      <c r="F412" s="60"/>
    </row>
    <row r="413">
      <c r="B413" s="577"/>
      <c r="F413" s="60"/>
    </row>
    <row r="414">
      <c r="B414" s="577"/>
      <c r="F414" s="60"/>
    </row>
    <row r="415">
      <c r="B415" s="577"/>
      <c r="F415" s="60"/>
    </row>
    <row r="416">
      <c r="B416" s="577"/>
      <c r="F416" s="60"/>
    </row>
    <row r="417">
      <c r="B417" s="577"/>
      <c r="F417" s="60"/>
    </row>
    <row r="418">
      <c r="B418" s="577"/>
      <c r="F418" s="60"/>
    </row>
    <row r="419">
      <c r="B419" s="577"/>
      <c r="F419" s="60"/>
    </row>
    <row r="420">
      <c r="B420" s="577"/>
      <c r="F420" s="60"/>
    </row>
    <row r="421">
      <c r="B421" s="577"/>
      <c r="F421" s="60"/>
    </row>
    <row r="422">
      <c r="B422" s="577"/>
      <c r="F422" s="60"/>
    </row>
    <row r="423">
      <c r="B423" s="577"/>
      <c r="F423" s="60"/>
    </row>
    <row r="424">
      <c r="B424" s="577"/>
      <c r="F424" s="60"/>
    </row>
    <row r="425">
      <c r="B425" s="577"/>
      <c r="F425" s="60"/>
    </row>
    <row r="426">
      <c r="B426" s="577"/>
      <c r="F426" s="60"/>
    </row>
    <row r="427">
      <c r="B427" s="577"/>
      <c r="F427" s="60"/>
    </row>
    <row r="428">
      <c r="B428" s="577"/>
      <c r="F428" s="60"/>
    </row>
    <row r="429">
      <c r="B429" s="577"/>
      <c r="F429" s="60"/>
    </row>
    <row r="430">
      <c r="B430" s="577"/>
      <c r="F430" s="60"/>
    </row>
    <row r="431">
      <c r="B431" s="577"/>
      <c r="F431" s="60"/>
    </row>
    <row r="432">
      <c r="B432" s="577"/>
      <c r="F432" s="60"/>
    </row>
    <row r="433">
      <c r="B433" s="577"/>
      <c r="F433" s="60"/>
    </row>
    <row r="434">
      <c r="B434" s="577"/>
      <c r="F434" s="60"/>
    </row>
    <row r="435">
      <c r="B435" s="577"/>
      <c r="F435" s="60"/>
    </row>
    <row r="436">
      <c r="B436" s="577"/>
      <c r="F436" s="60"/>
    </row>
    <row r="437">
      <c r="B437" s="577"/>
      <c r="F437" s="60"/>
    </row>
    <row r="438">
      <c r="B438" s="577"/>
      <c r="F438" s="60"/>
    </row>
    <row r="439">
      <c r="B439" s="577"/>
      <c r="F439" s="60"/>
    </row>
    <row r="440">
      <c r="B440" s="577"/>
      <c r="F440" s="60"/>
    </row>
    <row r="441">
      <c r="B441" s="577"/>
      <c r="F441" s="60"/>
    </row>
    <row r="442">
      <c r="B442" s="577"/>
      <c r="F442" s="60"/>
    </row>
    <row r="443">
      <c r="B443" s="577"/>
      <c r="F443" s="60"/>
    </row>
    <row r="444">
      <c r="B444" s="577"/>
      <c r="F444" s="60"/>
    </row>
    <row r="445">
      <c r="B445" s="577"/>
      <c r="F445" s="60"/>
    </row>
    <row r="446">
      <c r="B446" s="577"/>
      <c r="F446" s="60"/>
    </row>
    <row r="447">
      <c r="B447" s="577"/>
      <c r="F447" s="60"/>
    </row>
    <row r="448">
      <c r="B448" s="577"/>
      <c r="F448" s="60"/>
    </row>
    <row r="449">
      <c r="B449" s="577"/>
      <c r="F449" s="60"/>
    </row>
    <row r="450">
      <c r="B450" s="577"/>
      <c r="F450" s="60"/>
    </row>
    <row r="451">
      <c r="B451" s="577"/>
      <c r="F451" s="60"/>
    </row>
    <row r="452">
      <c r="B452" s="577"/>
      <c r="F452" s="60"/>
    </row>
    <row r="453">
      <c r="B453" s="577"/>
      <c r="F453" s="60"/>
    </row>
    <row r="454">
      <c r="B454" s="577"/>
      <c r="F454" s="60"/>
    </row>
    <row r="455">
      <c r="B455" s="577"/>
      <c r="F455" s="60"/>
    </row>
    <row r="456">
      <c r="B456" s="577"/>
      <c r="F456" s="60"/>
    </row>
    <row r="457">
      <c r="B457" s="577"/>
      <c r="F457" s="60"/>
    </row>
    <row r="458">
      <c r="B458" s="577"/>
      <c r="F458" s="60"/>
    </row>
    <row r="459">
      <c r="B459" s="577"/>
      <c r="F459" s="60"/>
    </row>
    <row r="460">
      <c r="B460" s="577"/>
      <c r="F460" s="60"/>
    </row>
    <row r="461">
      <c r="B461" s="577"/>
      <c r="F461" s="60"/>
    </row>
    <row r="462">
      <c r="B462" s="577"/>
      <c r="F462" s="60"/>
    </row>
    <row r="463">
      <c r="B463" s="577"/>
      <c r="F463" s="60"/>
    </row>
    <row r="464">
      <c r="B464" s="577"/>
      <c r="F464" s="60"/>
    </row>
    <row r="465">
      <c r="B465" s="577"/>
      <c r="F465" s="60"/>
    </row>
    <row r="466">
      <c r="B466" s="577"/>
      <c r="F466" s="60"/>
    </row>
    <row r="467">
      <c r="B467" s="577"/>
      <c r="F467" s="60"/>
    </row>
    <row r="468">
      <c r="B468" s="577"/>
      <c r="F468" s="60"/>
    </row>
    <row r="469">
      <c r="B469" s="577"/>
      <c r="F469" s="60"/>
    </row>
    <row r="470">
      <c r="B470" s="577"/>
      <c r="F470" s="60"/>
    </row>
    <row r="471">
      <c r="B471" s="577"/>
      <c r="F471" s="60"/>
    </row>
    <row r="472">
      <c r="B472" s="577"/>
      <c r="F472" s="60"/>
    </row>
    <row r="473">
      <c r="B473" s="577"/>
      <c r="F473" s="60"/>
    </row>
    <row r="474">
      <c r="B474" s="577"/>
      <c r="F474" s="60"/>
    </row>
    <row r="475">
      <c r="B475" s="577"/>
      <c r="F475" s="60"/>
    </row>
    <row r="476">
      <c r="B476" s="577"/>
      <c r="F476" s="60"/>
    </row>
    <row r="477">
      <c r="B477" s="577"/>
      <c r="F477" s="60"/>
    </row>
    <row r="478">
      <c r="B478" s="577"/>
      <c r="F478" s="60"/>
    </row>
    <row r="479">
      <c r="B479" s="577"/>
      <c r="F479" s="60"/>
    </row>
    <row r="480">
      <c r="B480" s="577"/>
      <c r="F480" s="60"/>
    </row>
    <row r="481">
      <c r="B481" s="577"/>
      <c r="F481" s="60"/>
    </row>
    <row r="482">
      <c r="B482" s="577"/>
      <c r="F482" s="60"/>
    </row>
    <row r="483">
      <c r="B483" s="577"/>
      <c r="F483" s="60"/>
    </row>
    <row r="484">
      <c r="B484" s="577"/>
      <c r="F484" s="60"/>
    </row>
    <row r="485">
      <c r="B485" s="577"/>
      <c r="F485" s="60"/>
    </row>
    <row r="486">
      <c r="B486" s="577"/>
      <c r="F486" s="60"/>
    </row>
    <row r="487">
      <c r="B487" s="577"/>
      <c r="F487" s="60"/>
    </row>
    <row r="488">
      <c r="B488" s="577"/>
      <c r="F488" s="60"/>
    </row>
    <row r="489">
      <c r="B489" s="577"/>
      <c r="F489" s="60"/>
    </row>
    <row r="490">
      <c r="B490" s="577"/>
      <c r="F490" s="60"/>
    </row>
    <row r="491">
      <c r="B491" s="577"/>
      <c r="F491" s="60"/>
    </row>
    <row r="492">
      <c r="B492" s="577"/>
      <c r="F492" s="60"/>
    </row>
    <row r="493">
      <c r="B493" s="577"/>
      <c r="F493" s="60"/>
    </row>
    <row r="494">
      <c r="B494" s="577"/>
      <c r="F494" s="60"/>
    </row>
    <row r="495">
      <c r="B495" s="577"/>
      <c r="F495" s="60"/>
    </row>
    <row r="496">
      <c r="B496" s="577"/>
      <c r="F496" s="60"/>
    </row>
    <row r="497">
      <c r="B497" s="577"/>
      <c r="F497" s="60"/>
    </row>
    <row r="498">
      <c r="B498" s="577"/>
      <c r="F498" s="60"/>
    </row>
    <row r="499">
      <c r="B499" s="577"/>
      <c r="F499" s="60"/>
    </row>
    <row r="500">
      <c r="B500" s="577"/>
      <c r="F500" s="60"/>
    </row>
    <row r="501">
      <c r="B501" s="577"/>
      <c r="F501" s="60"/>
    </row>
    <row r="502">
      <c r="B502" s="577"/>
      <c r="F502" s="60"/>
    </row>
    <row r="503">
      <c r="B503" s="577"/>
      <c r="F503" s="60"/>
    </row>
    <row r="504">
      <c r="B504" s="577"/>
      <c r="F504" s="60"/>
    </row>
    <row r="505">
      <c r="B505" s="577"/>
      <c r="F505" s="60"/>
    </row>
    <row r="506">
      <c r="B506" s="577"/>
      <c r="F506" s="60"/>
    </row>
    <row r="507">
      <c r="B507" s="577"/>
      <c r="F507" s="60"/>
    </row>
    <row r="508">
      <c r="B508" s="577"/>
      <c r="F508" s="60"/>
    </row>
    <row r="509">
      <c r="B509" s="577"/>
      <c r="F509" s="60"/>
    </row>
    <row r="510">
      <c r="B510" s="577"/>
      <c r="F510" s="60"/>
    </row>
    <row r="511">
      <c r="B511" s="577"/>
      <c r="F511" s="60"/>
    </row>
    <row r="512">
      <c r="B512" s="577"/>
      <c r="F512" s="60"/>
    </row>
    <row r="513">
      <c r="B513" s="577"/>
      <c r="F513" s="60"/>
    </row>
    <row r="514">
      <c r="B514" s="577"/>
      <c r="F514" s="60"/>
    </row>
    <row r="515">
      <c r="B515" s="577"/>
      <c r="F515" s="60"/>
    </row>
    <row r="516">
      <c r="B516" s="577"/>
      <c r="F516" s="60"/>
    </row>
    <row r="517">
      <c r="B517" s="577"/>
      <c r="F517" s="60"/>
    </row>
    <row r="518">
      <c r="B518" s="577"/>
      <c r="F518" s="60"/>
    </row>
    <row r="519">
      <c r="B519" s="577"/>
      <c r="F519" s="60"/>
    </row>
    <row r="520">
      <c r="B520" s="577"/>
      <c r="F520" s="60"/>
    </row>
    <row r="521">
      <c r="B521" s="577"/>
      <c r="F521" s="60"/>
    </row>
    <row r="522">
      <c r="B522" s="577"/>
      <c r="F522" s="60"/>
    </row>
    <row r="523">
      <c r="B523" s="577"/>
      <c r="F523" s="60"/>
    </row>
    <row r="524">
      <c r="B524" s="577"/>
      <c r="F524" s="60"/>
    </row>
    <row r="525">
      <c r="B525" s="577"/>
      <c r="F525" s="60"/>
    </row>
    <row r="526">
      <c r="B526" s="577"/>
      <c r="F526" s="60"/>
    </row>
    <row r="527">
      <c r="B527" s="577"/>
      <c r="F527" s="60"/>
    </row>
    <row r="528">
      <c r="B528" s="577"/>
      <c r="F528" s="60"/>
    </row>
    <row r="529">
      <c r="B529" s="577"/>
      <c r="F529" s="60"/>
    </row>
    <row r="530">
      <c r="B530" s="577"/>
      <c r="F530" s="60"/>
    </row>
    <row r="531">
      <c r="B531" s="577"/>
      <c r="F531" s="60"/>
    </row>
    <row r="532">
      <c r="B532" s="577"/>
      <c r="F532" s="60"/>
    </row>
    <row r="533">
      <c r="B533" s="577"/>
      <c r="F533" s="60"/>
    </row>
    <row r="534">
      <c r="B534" s="577"/>
      <c r="F534" s="60"/>
    </row>
    <row r="535">
      <c r="B535" s="577"/>
      <c r="F535" s="60"/>
    </row>
    <row r="536">
      <c r="B536" s="577"/>
      <c r="F536" s="60"/>
    </row>
    <row r="537">
      <c r="B537" s="577"/>
      <c r="F537" s="60"/>
    </row>
    <row r="538">
      <c r="B538" s="577"/>
      <c r="F538" s="60"/>
    </row>
    <row r="539">
      <c r="B539" s="577"/>
      <c r="F539" s="60"/>
    </row>
    <row r="540">
      <c r="B540" s="577"/>
      <c r="F540" s="60"/>
    </row>
    <row r="541">
      <c r="B541" s="577"/>
      <c r="F541" s="60"/>
    </row>
    <row r="542">
      <c r="B542" s="577"/>
      <c r="F542" s="60"/>
    </row>
    <row r="543">
      <c r="B543" s="577"/>
      <c r="F543" s="60"/>
    </row>
    <row r="544">
      <c r="B544" s="577"/>
      <c r="F544" s="60"/>
    </row>
    <row r="545">
      <c r="B545" s="577"/>
      <c r="F545" s="60"/>
    </row>
    <row r="546">
      <c r="B546" s="577"/>
      <c r="F546" s="60"/>
    </row>
    <row r="547">
      <c r="B547" s="577"/>
      <c r="F547" s="60"/>
    </row>
    <row r="548">
      <c r="B548" s="577"/>
      <c r="F548" s="60"/>
    </row>
    <row r="549">
      <c r="B549" s="577"/>
      <c r="F549" s="60"/>
    </row>
    <row r="550">
      <c r="B550" s="577"/>
      <c r="F550" s="60"/>
    </row>
    <row r="551">
      <c r="B551" s="577"/>
      <c r="F551" s="60"/>
    </row>
    <row r="552">
      <c r="B552" s="577"/>
      <c r="F552" s="60"/>
    </row>
    <row r="553">
      <c r="B553" s="577"/>
      <c r="F553" s="60"/>
    </row>
    <row r="554">
      <c r="B554" s="577"/>
      <c r="F554" s="60"/>
    </row>
    <row r="555">
      <c r="B555" s="577"/>
      <c r="F555" s="60"/>
    </row>
    <row r="556">
      <c r="B556" s="577"/>
      <c r="F556" s="60"/>
    </row>
    <row r="557">
      <c r="B557" s="577"/>
      <c r="F557" s="60"/>
    </row>
    <row r="558">
      <c r="B558" s="577"/>
      <c r="F558" s="60"/>
    </row>
    <row r="559">
      <c r="B559" s="577"/>
      <c r="F559" s="60"/>
    </row>
    <row r="560">
      <c r="B560" s="577"/>
      <c r="F560" s="60"/>
    </row>
    <row r="561">
      <c r="B561" s="577"/>
      <c r="F561" s="60"/>
    </row>
    <row r="562">
      <c r="B562" s="577"/>
      <c r="F562" s="60"/>
    </row>
    <row r="563">
      <c r="B563" s="577"/>
      <c r="F563" s="60"/>
    </row>
    <row r="564">
      <c r="B564" s="577"/>
      <c r="F564" s="60"/>
    </row>
    <row r="565">
      <c r="B565" s="577"/>
      <c r="F565" s="60"/>
    </row>
    <row r="566">
      <c r="B566" s="577"/>
      <c r="F566" s="60"/>
    </row>
    <row r="567">
      <c r="B567" s="577"/>
      <c r="F567" s="60"/>
    </row>
    <row r="568">
      <c r="B568" s="577"/>
      <c r="F568" s="60"/>
    </row>
    <row r="569">
      <c r="B569" s="577"/>
      <c r="F569" s="60"/>
    </row>
    <row r="570">
      <c r="B570" s="577"/>
      <c r="F570" s="60"/>
    </row>
    <row r="571">
      <c r="B571" s="577"/>
      <c r="F571" s="60"/>
    </row>
    <row r="572">
      <c r="B572" s="577"/>
      <c r="F572" s="60"/>
    </row>
    <row r="573">
      <c r="B573" s="577"/>
      <c r="F573" s="60"/>
    </row>
    <row r="574">
      <c r="B574" s="577"/>
      <c r="F574" s="60"/>
    </row>
    <row r="575">
      <c r="B575" s="577"/>
      <c r="F575" s="60"/>
    </row>
    <row r="576">
      <c r="B576" s="577"/>
      <c r="F576" s="60"/>
    </row>
    <row r="577">
      <c r="B577" s="577"/>
      <c r="F577" s="60"/>
    </row>
    <row r="578">
      <c r="B578" s="577"/>
      <c r="F578" s="60"/>
    </row>
    <row r="579">
      <c r="B579" s="577"/>
      <c r="F579" s="60"/>
    </row>
    <row r="580">
      <c r="B580" s="577"/>
      <c r="F580" s="60"/>
    </row>
    <row r="581">
      <c r="B581" s="577"/>
      <c r="F581" s="60"/>
    </row>
    <row r="582">
      <c r="B582" s="577"/>
      <c r="F582" s="60"/>
    </row>
    <row r="583">
      <c r="B583" s="577"/>
      <c r="F583" s="60"/>
    </row>
    <row r="584">
      <c r="B584" s="577"/>
      <c r="F584" s="60"/>
    </row>
    <row r="585">
      <c r="B585" s="577"/>
      <c r="F585" s="60"/>
    </row>
    <row r="586">
      <c r="B586" s="577"/>
      <c r="F586" s="60"/>
    </row>
    <row r="587">
      <c r="B587" s="577"/>
      <c r="F587" s="60"/>
    </row>
    <row r="588">
      <c r="B588" s="577"/>
      <c r="F588" s="60"/>
    </row>
    <row r="589">
      <c r="B589" s="577"/>
      <c r="F589" s="60"/>
    </row>
    <row r="590">
      <c r="B590" s="577"/>
      <c r="F590" s="60"/>
    </row>
    <row r="591">
      <c r="B591" s="577"/>
      <c r="F591" s="60"/>
    </row>
    <row r="592">
      <c r="B592" s="577"/>
      <c r="F592" s="60"/>
    </row>
    <row r="593">
      <c r="B593" s="577"/>
      <c r="F593" s="60"/>
    </row>
    <row r="594">
      <c r="B594" s="577"/>
      <c r="F594" s="60"/>
    </row>
    <row r="595">
      <c r="B595" s="577"/>
      <c r="F595" s="60"/>
    </row>
    <row r="596">
      <c r="B596" s="577"/>
      <c r="F596" s="60"/>
    </row>
    <row r="597">
      <c r="B597" s="577"/>
      <c r="F597" s="60"/>
    </row>
    <row r="598">
      <c r="B598" s="577"/>
      <c r="F598" s="60"/>
    </row>
    <row r="599">
      <c r="B599" s="577"/>
      <c r="F599" s="60"/>
    </row>
    <row r="600">
      <c r="B600" s="577"/>
      <c r="F600" s="60"/>
    </row>
    <row r="601">
      <c r="B601" s="577"/>
      <c r="F601" s="60"/>
    </row>
    <row r="602">
      <c r="B602" s="577"/>
      <c r="F602" s="60"/>
    </row>
    <row r="603">
      <c r="B603" s="577"/>
      <c r="F603" s="60"/>
    </row>
    <row r="604">
      <c r="B604" s="577"/>
      <c r="F604" s="60"/>
    </row>
    <row r="605">
      <c r="B605" s="577"/>
      <c r="F605" s="60"/>
    </row>
    <row r="606">
      <c r="B606" s="577"/>
      <c r="F606" s="60"/>
    </row>
    <row r="607">
      <c r="B607" s="577"/>
      <c r="F607" s="60"/>
    </row>
    <row r="608">
      <c r="B608" s="577"/>
      <c r="F608" s="60"/>
    </row>
    <row r="609">
      <c r="B609" s="577"/>
      <c r="F609" s="60"/>
    </row>
    <row r="610">
      <c r="B610" s="577"/>
      <c r="F610" s="60"/>
    </row>
    <row r="611">
      <c r="B611" s="577"/>
      <c r="F611" s="60"/>
    </row>
    <row r="612">
      <c r="B612" s="577"/>
      <c r="F612" s="60"/>
    </row>
    <row r="613">
      <c r="B613" s="577"/>
      <c r="F613" s="60"/>
    </row>
    <row r="614">
      <c r="B614" s="577"/>
      <c r="F614" s="60"/>
    </row>
    <row r="615">
      <c r="B615" s="577"/>
      <c r="F615" s="60"/>
    </row>
    <row r="616">
      <c r="B616" s="577"/>
      <c r="F616" s="60"/>
    </row>
    <row r="617">
      <c r="B617" s="577"/>
      <c r="F617" s="60"/>
    </row>
    <row r="618">
      <c r="B618" s="577"/>
      <c r="F618" s="60"/>
    </row>
    <row r="619">
      <c r="B619" s="577"/>
      <c r="F619" s="60"/>
    </row>
    <row r="620">
      <c r="B620" s="577"/>
      <c r="F620" s="60"/>
    </row>
    <row r="621">
      <c r="B621" s="577"/>
      <c r="F621" s="60"/>
    </row>
    <row r="622">
      <c r="B622" s="577"/>
      <c r="F622" s="60"/>
    </row>
    <row r="623">
      <c r="B623" s="577"/>
      <c r="F623" s="60"/>
    </row>
    <row r="624">
      <c r="B624" s="577"/>
      <c r="F624" s="60"/>
    </row>
    <row r="625">
      <c r="B625" s="577"/>
      <c r="F625" s="60"/>
    </row>
    <row r="626">
      <c r="B626" s="577"/>
      <c r="F626" s="60"/>
    </row>
    <row r="627">
      <c r="B627" s="577"/>
      <c r="F627" s="60"/>
    </row>
    <row r="628">
      <c r="B628" s="577"/>
      <c r="F628" s="60"/>
    </row>
    <row r="629">
      <c r="B629" s="577"/>
      <c r="F629" s="60"/>
    </row>
    <row r="630">
      <c r="B630" s="577"/>
      <c r="F630" s="60"/>
    </row>
    <row r="631">
      <c r="B631" s="577"/>
      <c r="F631" s="60"/>
    </row>
    <row r="632">
      <c r="B632" s="577"/>
      <c r="F632" s="60"/>
    </row>
    <row r="633">
      <c r="B633" s="577"/>
      <c r="F633" s="60"/>
    </row>
    <row r="634">
      <c r="B634" s="577"/>
      <c r="F634" s="60"/>
    </row>
    <row r="635">
      <c r="B635" s="577"/>
      <c r="F635" s="60"/>
    </row>
    <row r="636">
      <c r="B636" s="577"/>
      <c r="F636" s="60"/>
    </row>
    <row r="637">
      <c r="B637" s="577"/>
      <c r="F637" s="60"/>
    </row>
    <row r="638">
      <c r="B638" s="577"/>
      <c r="F638" s="60"/>
    </row>
    <row r="639">
      <c r="B639" s="577"/>
      <c r="F639" s="60"/>
    </row>
    <row r="640">
      <c r="B640" s="577"/>
      <c r="F640" s="60"/>
    </row>
    <row r="641">
      <c r="B641" s="577"/>
      <c r="F641" s="60"/>
    </row>
    <row r="642">
      <c r="B642" s="577"/>
      <c r="F642" s="60"/>
    </row>
    <row r="643">
      <c r="B643" s="577"/>
      <c r="F643" s="60"/>
    </row>
    <row r="644">
      <c r="B644" s="577"/>
      <c r="F644" s="60"/>
    </row>
    <row r="645">
      <c r="B645" s="577"/>
      <c r="F645" s="60"/>
    </row>
    <row r="646">
      <c r="B646" s="577"/>
      <c r="F646" s="60"/>
    </row>
    <row r="647">
      <c r="B647" s="577"/>
      <c r="F647" s="60"/>
    </row>
    <row r="648">
      <c r="B648" s="577"/>
      <c r="F648" s="60"/>
    </row>
    <row r="649">
      <c r="B649" s="577"/>
      <c r="F649" s="60"/>
    </row>
    <row r="650">
      <c r="B650" s="577"/>
      <c r="F650" s="60"/>
    </row>
    <row r="651">
      <c r="B651" s="577"/>
      <c r="F651" s="60"/>
    </row>
    <row r="652">
      <c r="B652" s="577"/>
      <c r="F652" s="60"/>
    </row>
    <row r="653">
      <c r="B653" s="577"/>
      <c r="F653" s="60"/>
    </row>
    <row r="654">
      <c r="B654" s="577"/>
      <c r="F654" s="60"/>
    </row>
    <row r="655">
      <c r="B655" s="577"/>
      <c r="F655" s="60"/>
    </row>
    <row r="656">
      <c r="B656" s="577"/>
      <c r="F656" s="60"/>
    </row>
    <row r="657">
      <c r="B657" s="577"/>
      <c r="F657" s="60"/>
    </row>
    <row r="658">
      <c r="B658" s="577"/>
      <c r="F658" s="60"/>
    </row>
    <row r="659">
      <c r="B659" s="577"/>
      <c r="F659" s="60"/>
    </row>
    <row r="660">
      <c r="B660" s="577"/>
      <c r="F660" s="60"/>
    </row>
    <row r="661">
      <c r="B661" s="577"/>
      <c r="F661" s="60"/>
    </row>
    <row r="662">
      <c r="B662" s="577"/>
      <c r="F662" s="60"/>
    </row>
    <row r="663">
      <c r="B663" s="577"/>
      <c r="F663" s="60"/>
    </row>
  </sheetData>
  <mergeCells count="3">
    <mergeCell ref="A1:G1"/>
    <mergeCell ref="A2:G2"/>
    <mergeCell ref="A3:G3"/>
  </mergeCells>
  <hyperlinks>
    <hyperlink r:id="rId1" ref="A2"/>
  </hyperlinks>
  <printOptions/>
  <pageMargins bottom="0.75" footer="0.0" header="0.0" left="0.7" right="0.7" top="0.75"/>
  <pageSetup orientation="landscape"/>
  <drawing r:id="rId2"/>
</worksheet>
</file>